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workbookProtection workbookAlgorithmName="SHA-512" workbookHashValue="86cm7Npz+D0gth368gApcyGx1dwVLwL0Q32lBoVq3T8829zqsxyohvBhpF3io7opkgL5A4pLOFOIRooLoShVow==" workbookSaltValue="K0TtIniF0l+PaDisXHtMyg==" workbookSpinCount="100000" lockStructure="1"/>
  <bookViews>
    <workbookView xWindow="0" yWindow="0" windowWidth="13755" windowHeight="9360"/>
  </bookViews>
  <sheets>
    <sheet name="Sheet1" sheetId="1" r:id="rId1"/>
    <sheet name="グラフ用データ" sheetId="2" state="hidden" r:id="rId2"/>
  </sheets>
  <definedNames>
    <definedName name="LED">グラフ用データ!$J$7</definedName>
    <definedName name="LED型式1">Sheet1!$AO$10</definedName>
    <definedName name="LED型式2">Sheet1!$AO$12</definedName>
    <definedName name="LED型式3">Sheet1!$AO$14</definedName>
    <definedName name="LED型式4">Sheet1!$AO$16</definedName>
    <definedName name="LED型式5">Sheet1!$AO$18</definedName>
    <definedName name="LED型式6">Sheet1!$AO$20</definedName>
    <definedName name="LED型式71">グラフ用データ!$J$7</definedName>
    <definedName name="LED型式72">グラフ用データ!$J$8</definedName>
    <definedName name="LED型式73">グラフ用データ!$J$9</definedName>
    <definedName name="LED型式74">グラフ用データ!$J$10</definedName>
    <definedName name="LED型式75">グラフ用データ!$J$11</definedName>
    <definedName name="LED型式76">グラフ用データ!$J$12</definedName>
    <definedName name="LED時期1">Sheet1!$BK$10</definedName>
    <definedName name="LED時期2">Sheet1!$BK$12</definedName>
    <definedName name="LED時期3">Sheet1!$BK$14</definedName>
    <definedName name="LED時期4">Sheet1!$BK$16</definedName>
    <definedName name="LED時期5">Sheet1!$BK$18</definedName>
    <definedName name="LED時期6">Sheet1!$BK$20</definedName>
    <definedName name="LED寿命1">Sheet1!$AY$10</definedName>
    <definedName name="LED寿命２">Sheet1!$AY$12</definedName>
    <definedName name="LED寿命3">Sheet1!$AY$14</definedName>
    <definedName name="LED寿命4">Sheet1!$AY$16</definedName>
    <definedName name="LED寿命5">Sheet1!$AY$18</definedName>
    <definedName name="LED寿命6">Sheet1!$AY$20</definedName>
    <definedName name="LED台数1">Sheet1!$BI$10</definedName>
    <definedName name="LED台数2">Sheet1!$BI$12</definedName>
    <definedName name="LED台数3">Sheet1!$BI$14</definedName>
    <definedName name="LED台数4">Sheet1!$BI$16</definedName>
    <definedName name="LED台数5">Sheet1!$BI$18</definedName>
    <definedName name="LED台数6">Sheet1!$BI$20</definedName>
    <definedName name="LED単価1">Sheet1!$BB$10</definedName>
    <definedName name="LED単価2">Sheet1!$BB$12</definedName>
    <definedName name="LED単価3">Sheet1!$BB$14</definedName>
    <definedName name="LED単価4">Sheet1!$BB$16</definedName>
    <definedName name="LED単価5">Sheet1!$BB$18</definedName>
    <definedName name="LED単価6">Sheet1!$BB$20</definedName>
    <definedName name="LED点灯時間1">Sheet1!$BE$10</definedName>
    <definedName name="LED点灯時間2">Sheet1!$BE$12</definedName>
    <definedName name="LED点灯時間3">Sheet1!$BE$14</definedName>
    <definedName name="LED点灯時間4">Sheet1!$BE$16</definedName>
    <definedName name="LED点灯時間5">Sheet1!$BE$18</definedName>
    <definedName name="LED点灯時間6">Sheet1!$BE$20</definedName>
    <definedName name="LED電力1">Sheet1!$AV$10</definedName>
    <definedName name="LED電力2">Sheet1!$AV$12</definedName>
    <definedName name="LED電力3">Sheet1!$AV$14</definedName>
    <definedName name="LED電力4">Sheet1!$AV$16</definedName>
    <definedName name="LED電力5">Sheet1!$AV$18</definedName>
    <definedName name="LED電力6">Sheet1!$AV$20</definedName>
    <definedName name="LED年間CO2排出量">グラフ用データ!$F$19</definedName>
    <definedName name="LED年間消費電力">グラフ用データ!$D$19</definedName>
    <definedName name="LED年間電気料金">グラフ用データ!$E$19</definedName>
    <definedName name="_xlnm.Print_Area" localSheetId="0">Sheet1!$A$1:$BO$61</definedName>
    <definedName name="既存型式1">Sheet1!$L$10</definedName>
    <definedName name="既存型式2">Sheet1!$L$12</definedName>
    <definedName name="既存型式3">Sheet1!$L$14</definedName>
    <definedName name="既存型式4">Sheet1!$L$16</definedName>
    <definedName name="既存型式5">Sheet1!$L$18</definedName>
    <definedName name="既存型式6">Sheet1!$L$20</definedName>
    <definedName name="既存型式71">グラフ用データ!$H$7</definedName>
    <definedName name="既存型式72">グラフ用データ!$H$8</definedName>
    <definedName name="既存型式73">グラフ用データ!$H$9</definedName>
    <definedName name="既存型式74">グラフ用データ!$H$10</definedName>
    <definedName name="既存型式75">グラフ用データ!$H$11</definedName>
    <definedName name="既存型式76">グラフ用データ!$H$12</definedName>
    <definedName name="既存時期1">Sheet1!$AH$10</definedName>
    <definedName name="既存時期2">Sheet1!$AH$12</definedName>
    <definedName name="既存時期3">Sheet1!$AH$14</definedName>
    <definedName name="既存時期4">Sheet1!$AH$16</definedName>
    <definedName name="既存時期5">Sheet1!$AH$18</definedName>
    <definedName name="既存時期6">Sheet1!$AH$20</definedName>
    <definedName name="既存寿命1">Sheet1!$V$10</definedName>
    <definedName name="既存寿命2">Sheet1!$V$12</definedName>
    <definedName name="既存寿命3">Sheet1!$V$14</definedName>
    <definedName name="既存寿命4">Sheet1!$V$16</definedName>
    <definedName name="既存寿命5">Sheet1!$V$18</definedName>
    <definedName name="既存寿命6">Sheet1!$V$20</definedName>
    <definedName name="既存台数1">Sheet1!$AF$10</definedName>
    <definedName name="既存台数2">Sheet1!$AF$12</definedName>
    <definedName name="既存台数3">Sheet1!$AF$14</definedName>
    <definedName name="既存台数4">Sheet1!$AF$16</definedName>
    <definedName name="既存台数5">Sheet1!$AF$18</definedName>
    <definedName name="既存台数6">Sheet1!$AF$20</definedName>
    <definedName name="既存単価1">Sheet1!$Y$10</definedName>
    <definedName name="既存単価2">Sheet1!$Y$12</definedName>
    <definedName name="既存単価3">Sheet1!$Y$14</definedName>
    <definedName name="既存単価4">Sheet1!$Y$16</definedName>
    <definedName name="既存単価5">Sheet1!$Y$18</definedName>
    <definedName name="既存単価6">Sheet1!$Y$20</definedName>
    <definedName name="既存点灯時間1">Sheet1!$AB$10</definedName>
    <definedName name="既存点灯時間2">Sheet1!$AB$12</definedName>
    <definedName name="既存点灯時間3">Sheet1!$AB$14</definedName>
    <definedName name="既存点灯時間4">Sheet1!$AB$16</definedName>
    <definedName name="既存点灯時間5">Sheet1!$AB$18</definedName>
    <definedName name="既存点灯時間6">Sheet1!$AB$20</definedName>
    <definedName name="既存電力1">Sheet1!$S$10</definedName>
    <definedName name="既存電力2">Sheet1!$S$12</definedName>
    <definedName name="既存電力3">Sheet1!$S$14</definedName>
    <definedName name="既存電力4">Sheet1!$S$16</definedName>
    <definedName name="既存電力5">Sheet1!$S$18</definedName>
    <definedName name="既存電力6">Sheet1!$S$20</definedName>
    <definedName name="既存年間CO2排出量">グラフ用データ!$F$10</definedName>
    <definedName name="既存年間消費電力">グラフ用データ!$D$10</definedName>
    <definedName name="既存年間電気料金">グラフ用データ!$E$10</definedName>
    <definedName name="初年度費用">Sheet1!$F$16</definedName>
    <definedName name="点灯時間">Sheet1!#REF!</definedName>
    <definedName name="点灯日数">Sheet1!$F$10</definedName>
    <definedName name="電力単価">Sheet1!$F$13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1" i="1" l="1"/>
  <c r="H4" i="2" l="1"/>
  <c r="A58" i="1" l="1"/>
  <c r="A57" i="1"/>
  <c r="A56" i="1"/>
  <c r="A55" i="1"/>
  <c r="A50" i="1"/>
  <c r="A49" i="1"/>
  <c r="J51" i="1"/>
  <c r="M51" i="1"/>
  <c r="P51" i="1"/>
  <c r="S51" i="1"/>
  <c r="V51" i="1"/>
  <c r="Y51" i="1"/>
  <c r="AB51" i="1"/>
  <c r="AE51" i="1"/>
  <c r="AH51" i="1"/>
  <c r="AK51" i="1"/>
  <c r="AN51" i="1"/>
  <c r="AQ51" i="1"/>
  <c r="AT51" i="1"/>
  <c r="AW51" i="1"/>
  <c r="AZ51" i="1"/>
  <c r="BC51" i="1"/>
  <c r="BF51" i="1"/>
  <c r="BI51" i="1"/>
  <c r="BL51" i="1"/>
  <c r="G51" i="1"/>
  <c r="M59" i="1"/>
  <c r="P59" i="1"/>
  <c r="S59" i="1"/>
  <c r="V59" i="1"/>
  <c r="Y59" i="1"/>
  <c r="AB59" i="1"/>
  <c r="AE59" i="1"/>
  <c r="AH59" i="1"/>
  <c r="AK59" i="1"/>
  <c r="AN59" i="1"/>
  <c r="AQ59" i="1"/>
  <c r="AT59" i="1"/>
  <c r="AW59" i="1"/>
  <c r="AZ59" i="1"/>
  <c r="BC59" i="1"/>
  <c r="BF59" i="1"/>
  <c r="BI59" i="1"/>
  <c r="BL59" i="1"/>
  <c r="G59" i="1"/>
  <c r="J59" i="1"/>
  <c r="G58" i="1"/>
  <c r="G57" i="1"/>
  <c r="G55" i="1"/>
  <c r="G56" i="1"/>
  <c r="G50" i="1"/>
  <c r="G49" i="1"/>
  <c r="A18" i="2" l="1"/>
  <c r="C18" i="2" s="1"/>
  <c r="D18" i="2" s="1"/>
  <c r="A17" i="2"/>
  <c r="C17" i="2" s="1"/>
  <c r="D17" i="2" s="1"/>
  <c r="A16" i="2"/>
  <c r="C16" i="2" s="1"/>
  <c r="D16" i="2" s="1"/>
  <c r="A15" i="2"/>
  <c r="C15" i="2" s="1"/>
  <c r="D15" i="2" s="1"/>
  <c r="A14" i="2"/>
  <c r="C14" i="2" s="1"/>
  <c r="D14" i="2" s="1"/>
  <c r="A13" i="2"/>
  <c r="A9" i="2"/>
  <c r="C9" i="2" s="1"/>
  <c r="D9" i="2" s="1"/>
  <c r="A8" i="2"/>
  <c r="C8" i="2" s="1"/>
  <c r="D8" i="2" s="1"/>
  <c r="A7" i="2"/>
  <c r="C7" i="2" s="1"/>
  <c r="D7" i="2" s="1"/>
  <c r="A6" i="2"/>
  <c r="C6" i="2" s="1"/>
  <c r="D6" i="2" s="1"/>
  <c r="A5" i="2"/>
  <c r="A4" i="2"/>
  <c r="G54" i="1"/>
  <c r="A54" i="1"/>
  <c r="G53" i="1"/>
  <c r="A53" i="1"/>
  <c r="G48" i="1"/>
  <c r="A48" i="1"/>
  <c r="G47" i="1"/>
  <c r="A47" i="1"/>
  <c r="G46" i="1"/>
  <c r="A46" i="1"/>
  <c r="G45" i="1"/>
  <c r="A45" i="1"/>
  <c r="BK20" i="1"/>
  <c r="AH20" i="1"/>
  <c r="BK18" i="1"/>
  <c r="AH18" i="1"/>
  <c r="BK16" i="1"/>
  <c r="AH16" i="1"/>
  <c r="AQ48" i="1" s="1"/>
  <c r="BK14" i="1"/>
  <c r="AH14" i="1"/>
  <c r="BL47" i="1" s="1"/>
  <c r="BK12" i="1"/>
  <c r="AH12" i="1"/>
  <c r="BF46" i="1" s="1"/>
  <c r="BK10" i="1"/>
  <c r="AH10" i="1"/>
  <c r="BF45" i="1" s="1"/>
  <c r="C4" i="2" l="1"/>
  <c r="H7" i="2"/>
  <c r="C5" i="2"/>
  <c r="D5" i="2" s="1"/>
  <c r="E5" i="2" s="1"/>
  <c r="H10" i="2"/>
  <c r="H9" i="2"/>
  <c r="H12" i="2"/>
  <c r="H8" i="2"/>
  <c r="H11" i="2"/>
  <c r="C13" i="2"/>
  <c r="C19" i="2" s="1"/>
  <c r="J11" i="2"/>
  <c r="J12" i="2"/>
  <c r="J10" i="2"/>
  <c r="J7" i="2"/>
  <c r="J9" i="2"/>
  <c r="J8" i="2"/>
  <c r="M49" i="1"/>
  <c r="Y49" i="1"/>
  <c r="AK49" i="1"/>
  <c r="AW49" i="1"/>
  <c r="BI49" i="1"/>
  <c r="S49" i="1"/>
  <c r="AQ49" i="1"/>
  <c r="V49" i="1"/>
  <c r="AT49" i="1"/>
  <c r="P49" i="1"/>
  <c r="AB49" i="1"/>
  <c r="AN49" i="1"/>
  <c r="AZ49" i="1"/>
  <c r="BL49" i="1"/>
  <c r="J49" i="1"/>
  <c r="AE49" i="1"/>
  <c r="BC49" i="1"/>
  <c r="AH49" i="1"/>
  <c r="BF49" i="1"/>
  <c r="S50" i="1"/>
  <c r="AE50" i="1"/>
  <c r="AQ50" i="1"/>
  <c r="BC50" i="1"/>
  <c r="J50" i="1"/>
  <c r="M50" i="1"/>
  <c r="AK50" i="1"/>
  <c r="BI50" i="1"/>
  <c r="P50" i="1"/>
  <c r="AN50" i="1"/>
  <c r="BL50" i="1"/>
  <c r="V50" i="1"/>
  <c r="AH50" i="1"/>
  <c r="AT50" i="1"/>
  <c r="BF50" i="1"/>
  <c r="Y50" i="1"/>
  <c r="AW50" i="1"/>
  <c r="AB50" i="1"/>
  <c r="AZ50" i="1"/>
  <c r="P45" i="1"/>
  <c r="AK45" i="1"/>
  <c r="BC45" i="1"/>
  <c r="M46" i="1"/>
  <c r="J47" i="1"/>
  <c r="AE47" i="1"/>
  <c r="BC47" i="1"/>
  <c r="S54" i="1"/>
  <c r="AE54" i="1"/>
  <c r="AQ54" i="1"/>
  <c r="BC54" i="1"/>
  <c r="M54" i="1"/>
  <c r="AW54" i="1"/>
  <c r="P54" i="1"/>
  <c r="AN54" i="1"/>
  <c r="BL54" i="1"/>
  <c r="V54" i="1"/>
  <c r="AH54" i="1"/>
  <c r="AT54" i="1"/>
  <c r="BF54" i="1"/>
  <c r="Y54" i="1"/>
  <c r="AK54" i="1"/>
  <c r="BI54" i="1"/>
  <c r="AB54" i="1"/>
  <c r="AZ54" i="1"/>
  <c r="S56" i="1"/>
  <c r="AE56" i="1"/>
  <c r="AQ56" i="1"/>
  <c r="BC56" i="1"/>
  <c r="M56" i="1"/>
  <c r="AK56" i="1"/>
  <c r="BI56" i="1"/>
  <c r="J56" i="1"/>
  <c r="AB56" i="1"/>
  <c r="AZ56" i="1"/>
  <c r="V56" i="1"/>
  <c r="AH56" i="1"/>
  <c r="AT56" i="1"/>
  <c r="BF56" i="1"/>
  <c r="Y56" i="1"/>
  <c r="AW56" i="1"/>
  <c r="P56" i="1"/>
  <c r="AN56" i="1"/>
  <c r="BL56" i="1"/>
  <c r="S58" i="1"/>
  <c r="AE58" i="1"/>
  <c r="AQ58" i="1"/>
  <c r="BC58" i="1"/>
  <c r="J58" i="1"/>
  <c r="Y58" i="1"/>
  <c r="AW58" i="1"/>
  <c r="P58" i="1"/>
  <c r="AN58" i="1"/>
  <c r="AZ58" i="1"/>
  <c r="V58" i="1"/>
  <c r="AH58" i="1"/>
  <c r="AT58" i="1"/>
  <c r="BF58" i="1"/>
  <c r="M58" i="1"/>
  <c r="AK58" i="1"/>
  <c r="BI58" i="1"/>
  <c r="AB58" i="1"/>
  <c r="BL58" i="1"/>
  <c r="S45" i="1"/>
  <c r="AN45" i="1"/>
  <c r="BL45" i="1"/>
  <c r="M47" i="1"/>
  <c r="AK47" i="1"/>
  <c r="BF47" i="1"/>
  <c r="Y45" i="1"/>
  <c r="AW45" i="1"/>
  <c r="V47" i="1"/>
  <c r="AQ47" i="1"/>
  <c r="BI47" i="1"/>
  <c r="M53" i="1"/>
  <c r="Y53" i="1"/>
  <c r="AK53" i="1"/>
  <c r="AW53" i="1"/>
  <c r="BI53" i="1"/>
  <c r="AE53" i="1"/>
  <c r="AQ53" i="1"/>
  <c r="V53" i="1"/>
  <c r="AH53" i="1"/>
  <c r="AT53" i="1"/>
  <c r="P53" i="1"/>
  <c r="AB53" i="1"/>
  <c r="AN53" i="1"/>
  <c r="AZ53" i="1"/>
  <c r="BL53" i="1"/>
  <c r="S53" i="1"/>
  <c r="BC53" i="1"/>
  <c r="BF53" i="1"/>
  <c r="M55" i="1"/>
  <c r="Y55" i="1"/>
  <c r="AK55" i="1"/>
  <c r="AW55" i="1"/>
  <c r="BI55" i="1"/>
  <c r="S55" i="1"/>
  <c r="AQ55" i="1"/>
  <c r="AH55" i="1"/>
  <c r="BF55" i="1"/>
  <c r="J55" i="1"/>
  <c r="P55" i="1"/>
  <c r="AB55" i="1"/>
  <c r="AN55" i="1"/>
  <c r="AZ55" i="1"/>
  <c r="BL55" i="1"/>
  <c r="AE55" i="1"/>
  <c r="BC55" i="1"/>
  <c r="V55" i="1"/>
  <c r="AT55" i="1"/>
  <c r="M57" i="1"/>
  <c r="Y57" i="1"/>
  <c r="AK57" i="1"/>
  <c r="AW57" i="1"/>
  <c r="BI57" i="1"/>
  <c r="AE57" i="1"/>
  <c r="BC57" i="1"/>
  <c r="V57" i="1"/>
  <c r="AT57" i="1"/>
  <c r="P57" i="1"/>
  <c r="AB57" i="1"/>
  <c r="AN57" i="1"/>
  <c r="AZ57" i="1"/>
  <c r="BL57" i="1"/>
  <c r="J57" i="1"/>
  <c r="S57" i="1"/>
  <c r="AQ57" i="1"/>
  <c r="AH57" i="1"/>
  <c r="BF57" i="1"/>
  <c r="AE45" i="1"/>
  <c r="AZ45" i="1"/>
  <c r="Y47" i="1"/>
  <c r="AT47" i="1"/>
  <c r="G52" i="1"/>
  <c r="C41" i="2" s="1"/>
  <c r="AN46" i="1"/>
  <c r="J46" i="1"/>
  <c r="Y46" i="1"/>
  <c r="BI46" i="1"/>
  <c r="J48" i="1"/>
  <c r="G60" i="1"/>
  <c r="AB46" i="1"/>
  <c r="V48" i="1"/>
  <c r="J54" i="1"/>
  <c r="BF48" i="1"/>
  <c r="AB48" i="1"/>
  <c r="BC48" i="1"/>
  <c r="AT46" i="1"/>
  <c r="AN48" i="1"/>
  <c r="M45" i="1"/>
  <c r="AB45" i="1"/>
  <c r="AQ45" i="1"/>
  <c r="BI45" i="1"/>
  <c r="S47" i="1"/>
  <c r="AH47" i="1"/>
  <c r="AW47" i="1"/>
  <c r="F6" i="2"/>
  <c r="C26" i="2"/>
  <c r="E6" i="2"/>
  <c r="B27" i="2"/>
  <c r="F16" i="2"/>
  <c r="E16" i="2"/>
  <c r="D4" i="2"/>
  <c r="C27" i="2"/>
  <c r="E7" i="2"/>
  <c r="F7" i="2"/>
  <c r="E8" i="2"/>
  <c r="C28" i="2"/>
  <c r="F8" i="2"/>
  <c r="E14" i="2"/>
  <c r="B25" i="2"/>
  <c r="F14" i="2"/>
  <c r="F17" i="2"/>
  <c r="E17" i="2"/>
  <c r="B28" i="2"/>
  <c r="C29" i="2"/>
  <c r="E9" i="2"/>
  <c r="F9" i="2"/>
  <c r="F15" i="2"/>
  <c r="B26" i="2"/>
  <c r="E15" i="2"/>
  <c r="E18" i="2"/>
  <c r="B29" i="2"/>
  <c r="F18" i="2"/>
  <c r="BC46" i="1"/>
  <c r="AQ46" i="1"/>
  <c r="AE46" i="1"/>
  <c r="S46" i="1"/>
  <c r="BI48" i="1"/>
  <c r="AW48" i="1"/>
  <c r="AK48" i="1"/>
  <c r="Y48" i="1"/>
  <c r="M48" i="1"/>
  <c r="P46" i="1"/>
  <c r="AH46" i="1"/>
  <c r="AW46" i="1"/>
  <c r="BL46" i="1"/>
  <c r="P48" i="1"/>
  <c r="AE48" i="1"/>
  <c r="AT48" i="1"/>
  <c r="BL48" i="1"/>
  <c r="J53" i="1"/>
  <c r="V46" i="1"/>
  <c r="AK46" i="1"/>
  <c r="AZ46" i="1"/>
  <c r="S48" i="1"/>
  <c r="AH48" i="1"/>
  <c r="AZ48" i="1"/>
  <c r="J45" i="1"/>
  <c r="V45" i="1"/>
  <c r="AH45" i="1"/>
  <c r="AT45" i="1"/>
  <c r="P47" i="1"/>
  <c r="AB47" i="1"/>
  <c r="AN47" i="1"/>
  <c r="AZ47" i="1"/>
  <c r="C10" i="2" l="1"/>
  <c r="F5" i="2"/>
  <c r="C25" i="2"/>
  <c r="D13" i="2"/>
  <c r="B24" i="2" s="1"/>
  <c r="A3" i="1"/>
  <c r="A5" i="1"/>
  <c r="G61" i="1"/>
  <c r="J52" i="1"/>
  <c r="M52" i="1" s="1"/>
  <c r="J60" i="1"/>
  <c r="D41" i="2"/>
  <c r="E4" i="2"/>
  <c r="E10" i="2" s="1"/>
  <c r="AY27" i="1" s="1"/>
  <c r="D10" i="2"/>
  <c r="AY24" i="1" s="1"/>
  <c r="C24" i="2"/>
  <c r="F4" i="2"/>
  <c r="F10" i="2" s="1"/>
  <c r="AY30" i="1" s="1"/>
  <c r="F24" i="2"/>
  <c r="C20" i="2"/>
  <c r="F23" i="2" s="1"/>
  <c r="E13" i="2" l="1"/>
  <c r="E19" i="2" s="1"/>
  <c r="BF27" i="1" s="1"/>
  <c r="D19" i="2"/>
  <c r="BF24" i="1" s="1"/>
  <c r="F13" i="2"/>
  <c r="F19" i="2" s="1"/>
  <c r="BF30" i="1" s="1"/>
  <c r="F22" i="2"/>
  <c r="AF30" i="1" s="1"/>
  <c r="C42" i="2"/>
  <c r="M60" i="1"/>
  <c r="M61" i="1" s="1"/>
  <c r="D42" i="2"/>
  <c r="C43" i="2"/>
  <c r="P52" i="1"/>
  <c r="B31" i="2"/>
  <c r="J61" i="1"/>
  <c r="C31" i="2"/>
  <c r="F20" i="2" l="1"/>
  <c r="BF29" i="1" s="1"/>
  <c r="E20" i="2"/>
  <c r="BF26" i="1" s="1"/>
  <c r="D20" i="2"/>
  <c r="BF23" i="1" s="1"/>
  <c r="C44" i="2"/>
  <c r="S52" i="1"/>
  <c r="D43" i="2"/>
  <c r="P60" i="1"/>
  <c r="P61" i="1" s="1"/>
  <c r="B30" i="2" l="1"/>
  <c r="B32" i="2"/>
  <c r="V52" i="1"/>
  <c r="C45" i="2"/>
  <c r="S60" i="1"/>
  <c r="S61" i="1" s="1"/>
  <c r="D44" i="2"/>
  <c r="V60" i="1" l="1"/>
  <c r="V61" i="1" s="1"/>
  <c r="D45" i="2"/>
  <c r="C46" i="2"/>
  <c r="Y52" i="1"/>
  <c r="AB52" i="1" l="1"/>
  <c r="C47" i="2"/>
  <c r="D46" i="2"/>
  <c r="Y60" i="1"/>
  <c r="C48" i="2" l="1"/>
  <c r="AE52" i="1"/>
  <c r="D47" i="2"/>
  <c r="AB60" i="1"/>
  <c r="AB61" i="1" s="1"/>
  <c r="Y61" i="1"/>
  <c r="AH52" i="1" l="1"/>
  <c r="C49" i="2"/>
  <c r="AE60" i="1"/>
  <c r="AE61" i="1" s="1"/>
  <c r="D48" i="2"/>
  <c r="AH60" i="1" l="1"/>
  <c r="AH61" i="1" s="1"/>
  <c r="D49" i="2"/>
  <c r="C50" i="2"/>
  <c r="AK52" i="1"/>
  <c r="AN52" i="1" l="1"/>
  <c r="C51" i="2"/>
  <c r="AK60" i="1"/>
  <c r="D50" i="2"/>
  <c r="C52" i="2" l="1"/>
  <c r="AQ52" i="1"/>
  <c r="D51" i="2"/>
  <c r="AN60" i="1"/>
  <c r="AN61" i="1" s="1"/>
  <c r="AK61" i="1"/>
  <c r="AT52" i="1" l="1"/>
  <c r="C53" i="2"/>
  <c r="AQ60" i="1"/>
  <c r="AQ61" i="1" s="1"/>
  <c r="D52" i="2"/>
  <c r="AT60" i="1" l="1"/>
  <c r="AT61" i="1" s="1"/>
  <c r="D53" i="2"/>
  <c r="C54" i="2"/>
  <c r="AW52" i="1"/>
  <c r="AZ52" i="1" l="1"/>
  <c r="C55" i="2"/>
  <c r="D54" i="2"/>
  <c r="AW60" i="1"/>
  <c r="C56" i="2" l="1"/>
  <c r="BC52" i="1"/>
  <c r="D55" i="2"/>
  <c r="AZ60" i="1"/>
  <c r="AZ61" i="1" s="1"/>
  <c r="AW61" i="1"/>
  <c r="BF52" i="1" l="1"/>
  <c r="C57" i="2"/>
  <c r="BC60" i="1"/>
  <c r="BC61" i="1" s="1"/>
  <c r="D56" i="2"/>
  <c r="BF60" i="1" l="1"/>
  <c r="BF61" i="1" s="1"/>
  <c r="D57" i="2"/>
  <c r="C58" i="2"/>
  <c r="BI52" i="1"/>
  <c r="C59" i="2" l="1"/>
  <c r="BL52" i="1"/>
  <c r="BI60" i="1"/>
  <c r="D58" i="2"/>
  <c r="C60" i="2" l="1"/>
  <c r="D59" i="2"/>
  <c r="BL60" i="1"/>
  <c r="D60" i="2" s="1"/>
  <c r="BI61" i="1"/>
  <c r="BL61" i="1" l="1"/>
</calcChain>
</file>

<file path=xl/sharedStrings.xml><?xml version="1.0" encoding="utf-8"?>
<sst xmlns="http://schemas.openxmlformats.org/spreadsheetml/2006/main" count="90" uniqueCount="71">
  <si>
    <t>点灯方法</t>
    <rPh sb="0" eb="4">
      <t>テントウホウホウ</t>
    </rPh>
    <phoneticPr fontId="2"/>
  </si>
  <si>
    <t>様</t>
    <rPh sb="0" eb="1">
      <t>サマ</t>
    </rPh>
    <phoneticPr fontId="2"/>
  </si>
  <si>
    <t>消費電力（W）</t>
    <rPh sb="0" eb="4">
      <t>ショウヒデンリョク</t>
    </rPh>
    <phoneticPr fontId="2"/>
  </si>
  <si>
    <t>既存照明の型式</t>
    <rPh sb="0" eb="4">
      <t>キゾンショウメイ</t>
    </rPh>
    <rPh sb="5" eb="7">
      <t>カタシキ</t>
    </rPh>
    <phoneticPr fontId="2"/>
  </si>
  <si>
    <t>LED照明の型式</t>
    <rPh sb="3" eb="5">
      <t>ショウメイ</t>
    </rPh>
    <rPh sb="6" eb="8">
      <t>カタシキ</t>
    </rPh>
    <phoneticPr fontId="2"/>
  </si>
  <si>
    <t>□本社　□札幌営業所　□東京営業所　</t>
    <phoneticPr fontId="2"/>
  </si>
  <si>
    <t>□名古屋営業所　□大阪営業所　□福岡営業所</t>
    <phoneticPr fontId="2"/>
  </si>
  <si>
    <t>日付</t>
    <rPh sb="0" eb="2">
      <t>ヒヅケ</t>
    </rPh>
    <phoneticPr fontId="2"/>
  </si>
  <si>
    <t>電力料金
目安単価（円）</t>
    <rPh sb="0" eb="4">
      <t>デンリョクリョウキン</t>
    </rPh>
    <rPh sb="5" eb="9">
      <t>メヤスタンカ</t>
    </rPh>
    <rPh sb="10" eb="11">
      <t>エン</t>
    </rPh>
    <phoneticPr fontId="2"/>
  </si>
  <si>
    <t>年間点灯日数（日）</t>
    <rPh sb="0" eb="2">
      <t>ネンカン</t>
    </rPh>
    <rPh sb="2" eb="4">
      <t>テントウ</t>
    </rPh>
    <rPh sb="4" eb="6">
      <t>ニッスウ</t>
    </rPh>
    <rPh sb="7" eb="8">
      <t>ヒ</t>
    </rPh>
    <phoneticPr fontId="2"/>
  </si>
  <si>
    <t>年間差額</t>
    <rPh sb="0" eb="4">
      <t>ネンカンサガク</t>
    </rPh>
    <phoneticPr fontId="2"/>
  </si>
  <si>
    <t>LED導入コスト総合計</t>
    <rPh sb="3" eb="5">
      <t>ドウニュウ</t>
    </rPh>
    <rPh sb="8" eb="11">
      <t>ソウゴウケイ</t>
    </rPh>
    <phoneticPr fontId="2"/>
  </si>
  <si>
    <t>電気代</t>
    <rPh sb="0" eb="3">
      <t>デンキダイ</t>
    </rPh>
    <phoneticPr fontId="2"/>
  </si>
  <si>
    <t>既存照明コスト総合計</t>
    <rPh sb="0" eb="2">
      <t>キゾン</t>
    </rPh>
    <rPh sb="2" eb="4">
      <t>ショウメイ</t>
    </rPh>
    <rPh sb="7" eb="10">
      <t>ソウゴウケイ</t>
    </rPh>
    <phoneticPr fontId="2"/>
  </si>
  <si>
    <t>経過年数</t>
    <rPh sb="0" eb="4">
      <t>ケイカネンスウ</t>
    </rPh>
    <phoneticPr fontId="2"/>
  </si>
  <si>
    <t>既存</t>
    <rPh sb="0" eb="2">
      <t>キゾン</t>
    </rPh>
    <phoneticPr fontId="2"/>
  </si>
  <si>
    <t>消費電力(kW)</t>
    <rPh sb="0" eb="4">
      <t>ショウヒデンリョク</t>
    </rPh>
    <phoneticPr fontId="2"/>
  </si>
  <si>
    <t>年間消費電力</t>
    <rPh sb="0" eb="6">
      <t>ネンカンショウヒデンリョク</t>
    </rPh>
    <phoneticPr fontId="2"/>
  </si>
  <si>
    <t>年間電気料金</t>
    <rPh sb="0" eb="6">
      <t>ネンカンデンキリョウキン</t>
    </rPh>
    <phoneticPr fontId="2"/>
  </si>
  <si>
    <t>LED</t>
    <phoneticPr fontId="2"/>
  </si>
  <si>
    <t>年間合計</t>
    <rPh sb="0" eb="2">
      <t>ネンカン</t>
    </rPh>
    <rPh sb="2" eb="4">
      <t>ゴウケイ</t>
    </rPh>
    <phoneticPr fontId="2"/>
  </si>
  <si>
    <t>コスト比較</t>
    <rPh sb="3" eb="5">
      <t>ヒカク</t>
    </rPh>
    <phoneticPr fontId="2"/>
  </si>
  <si>
    <t>既存コスト</t>
    <rPh sb="0" eb="2">
      <t>キゾン</t>
    </rPh>
    <phoneticPr fontId="2"/>
  </si>
  <si>
    <t>LEDコスト</t>
    <phoneticPr fontId="2"/>
  </si>
  <si>
    <t>削減割合</t>
    <rPh sb="0" eb="4">
      <t>サクゲンワリアイ</t>
    </rPh>
    <phoneticPr fontId="2"/>
  </si>
  <si>
    <t>年間割合グラフ</t>
    <rPh sb="0" eb="4">
      <t>ネンカンワリアイ</t>
    </rPh>
    <phoneticPr fontId="2"/>
  </si>
  <si>
    <t>差</t>
    <rPh sb="0" eb="1">
      <t>サ</t>
    </rPh>
    <phoneticPr fontId="2"/>
  </si>
  <si>
    <t>総コスト</t>
    <rPh sb="0" eb="1">
      <t>ソウ</t>
    </rPh>
    <phoneticPr fontId="2"/>
  </si>
  <si>
    <t>トータルコスト推移表</t>
    <rPh sb="7" eb="10">
      <t>スイイヒョウ</t>
    </rPh>
    <phoneticPr fontId="2"/>
  </si>
  <si>
    <t>単位：万</t>
    <rPh sb="0" eb="2">
      <t>タンイ</t>
    </rPh>
    <rPh sb="3" eb="4">
      <t>マン</t>
    </rPh>
    <phoneticPr fontId="2"/>
  </si>
  <si>
    <t>全体</t>
    <rPh sb="0" eb="2">
      <t>ゼンタイ</t>
    </rPh>
    <phoneticPr fontId="2"/>
  </si>
  <si>
    <t>CO2排出係数</t>
    <rPh sb="3" eb="7">
      <t>ハイシュツケイスウ</t>
    </rPh>
    <phoneticPr fontId="2"/>
  </si>
  <si>
    <t>年間CO2排出量</t>
    <rPh sb="0" eb="2">
      <t>ネンカン</t>
    </rPh>
    <rPh sb="5" eb="8">
      <t>ハイシュツリョウ</t>
    </rPh>
    <phoneticPr fontId="2"/>
  </si>
  <si>
    <t>年間で</t>
    <rPh sb="0" eb="2">
      <t>ネンカン</t>
    </rPh>
    <phoneticPr fontId="2"/>
  </si>
  <si>
    <t>の省エネ効果</t>
    <rPh sb="1" eb="2">
      <t>ショウ</t>
    </rPh>
    <rPh sb="4" eb="6">
      <t>コウカ</t>
    </rPh>
    <phoneticPr fontId="2"/>
  </si>
  <si>
    <t>※</t>
    <phoneticPr fontId="2"/>
  </si>
  <si>
    <t>の箇所にご記入ください。</t>
    <rPh sb="1" eb="3">
      <t>カショ</t>
    </rPh>
    <rPh sb="5" eb="7">
      <t>キニュウ</t>
    </rPh>
    <phoneticPr fontId="2"/>
  </si>
  <si>
    <t>年間電気代</t>
    <rPh sb="0" eb="5">
      <t>ネンカンデンキダイ</t>
    </rPh>
    <phoneticPr fontId="2"/>
  </si>
  <si>
    <t>エースディスク200W</t>
    <phoneticPr fontId="2"/>
  </si>
  <si>
    <t>アイディスク150W</t>
    <phoneticPr fontId="2"/>
  </si>
  <si>
    <t>ゼットディスク</t>
    <phoneticPr fontId="2"/>
  </si>
  <si>
    <t>寿命
（時間）</t>
    <rPh sb="0" eb="2">
      <t>ジュミョウ</t>
    </rPh>
    <rPh sb="4" eb="6">
      <t>ジカン</t>
    </rPh>
    <phoneticPr fontId="2"/>
  </si>
  <si>
    <t>1日あたりの
点灯時間</t>
    <rPh sb="1" eb="2">
      <t>ニチ</t>
    </rPh>
    <rPh sb="7" eb="9">
      <t>テントウ</t>
    </rPh>
    <rPh sb="9" eb="11">
      <t>ジカン</t>
    </rPh>
    <phoneticPr fontId="2"/>
  </si>
  <si>
    <t>交換
時期（年）</t>
    <rPh sb="0" eb="2">
      <t>コウカン</t>
    </rPh>
    <rPh sb="3" eb="5">
      <t>ジキ</t>
    </rPh>
    <rPh sb="6" eb="7">
      <t>ネン</t>
    </rPh>
    <phoneticPr fontId="2"/>
  </si>
  <si>
    <t>単価
（円）</t>
    <rPh sb="0" eb="2">
      <t>タンカ</t>
    </rPh>
    <rPh sb="4" eb="5">
      <t>エン</t>
    </rPh>
    <phoneticPr fontId="2"/>
  </si>
  <si>
    <t>使用
台数</t>
    <rPh sb="0" eb="2">
      <t>シヨウ</t>
    </rPh>
    <rPh sb="3" eb="5">
      <t>ダイスウ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</si>
  <si>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</si>
  <si>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</si>
  <si>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</si>
  <si>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</si>
  <si>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</si>
  <si>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</si>
  <si>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ハイディスク140W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</si>
  <si>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</si>
  <si>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</si>
  <si>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</si>
  <si>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</si>
  <si>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</si>
  <si>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</si>
  <si>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含む</t>
  </si>
  <si>
    <t>既存灯具・初年度
諸費用（円）</t>
    <rPh sb="0" eb="2">
      <t>キゾン</t>
    </rPh>
    <rPh sb="2" eb="4">
      <t>トウグ</t>
    </rPh>
    <rPh sb="5" eb="8">
      <t>ショネンド</t>
    </rPh>
    <rPh sb="9" eb="12">
      <t>ショヒヨウ</t>
    </rPh>
    <rPh sb="13" eb="14">
      <t>エン</t>
    </rPh>
    <phoneticPr fontId="2"/>
  </si>
  <si>
    <t>既存型式</t>
    <rPh sb="0" eb="4">
      <t>キゾンカタシキ</t>
    </rPh>
    <phoneticPr fontId="2"/>
  </si>
  <si>
    <t>LED型式</t>
    <rPh sb="3" eb="5">
      <t>カタシキ</t>
    </rPh>
    <phoneticPr fontId="2"/>
  </si>
  <si>
    <t>エースディスク300W</t>
    <phoneticPr fontId="2"/>
  </si>
  <si>
    <t>セラメタ300W</t>
    <phoneticPr fontId="2"/>
  </si>
  <si>
    <t>水銀灯300w</t>
    <rPh sb="0" eb="3">
      <t>スイギントウ</t>
    </rPh>
    <phoneticPr fontId="2"/>
  </si>
  <si>
    <t>水銀灯400W</t>
    <rPh sb="0" eb="3">
      <t>スイギントウ</t>
    </rPh>
    <phoneticPr fontId="2"/>
  </si>
  <si>
    <t>メタハラ400W</t>
    <phoneticPr fontId="2"/>
  </si>
  <si>
    <t>メタハラ700W</t>
    <phoneticPr fontId="2"/>
  </si>
  <si>
    <t>メタハラ1000</t>
    <phoneticPr fontId="2"/>
  </si>
  <si>
    <t>エースディスク500W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</si>
</sst>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年目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auto="1"/>
      </patternFill>
    </fill>
    <fill>
      <patternFill patternType="solid">
        <fgColor rgb="FFCCFFCC"/>
        <bgColor auto="1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9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8" borderId="20" xfId="0" applyFill="1" applyBorder="1">
      <alignment vertical="center"/>
    </xf>
    <xf numFmtId="0" fontId="0" fillId="8" borderId="14" xfId="0" applyFill="1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2" xfId="0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13" fillId="6" borderId="21" xfId="0" applyFont="1" applyFill="1" applyBorder="1" applyAlignment="1" applyProtection="1">
      <alignment horizontal="center" vertical="center"/>
      <protection locked="0"/>
    </xf>
    <xf numFmtId="0" fontId="13" fillId="6" borderId="22" xfId="0" applyFont="1" applyFill="1" applyBorder="1" applyAlignment="1" applyProtection="1">
      <alignment horizontal="center" vertical="center"/>
      <protection locked="0"/>
    </xf>
    <xf numFmtId="0" fontId="13" fillId="6" borderId="26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13" fillId="6" borderId="46" xfId="0" applyFont="1" applyFill="1" applyBorder="1" applyAlignment="1" applyProtection="1">
      <alignment horizontal="center" vertical="center"/>
      <protection locked="0"/>
    </xf>
    <xf numFmtId="0" fontId="13" fillId="6" borderId="24" xfId="0" applyFont="1" applyFill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7" borderId="30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horizontal="center" vertical="center"/>
      <protection locked="0"/>
    </xf>
    <xf numFmtId="0" fontId="4" fillId="6" borderId="18" xfId="0" applyFont="1" applyFill="1" applyBorder="1" applyAlignment="1" applyProtection="1">
      <alignment horizontal="center" vertical="center"/>
      <protection locked="0"/>
    </xf>
    <xf numFmtId="38" fontId="14" fillId="0" borderId="1" xfId="1" applyFont="1" applyBorder="1" applyAlignment="1" applyProtection="1">
      <alignment horizontal="center" vertical="center"/>
    </xf>
    <xf numFmtId="38" fontId="14" fillId="4" borderId="1" xfId="1" applyFont="1" applyFill="1" applyBorder="1" applyAlignment="1" applyProtection="1">
      <alignment horizontal="center" vertical="center"/>
    </xf>
    <xf numFmtId="38" fontId="14" fillId="0" borderId="4" xfId="1" applyFont="1" applyBorder="1" applyAlignment="1" applyProtection="1">
      <alignment horizontal="center" vertical="center"/>
    </xf>
    <xf numFmtId="38" fontId="14" fillId="2" borderId="3" xfId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6" borderId="22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 wrapText="1"/>
      <protection locked="0"/>
    </xf>
    <xf numFmtId="0" fontId="4" fillId="6" borderId="22" xfId="0" applyFont="1" applyFill="1" applyBorder="1" applyAlignment="1" applyProtection="1">
      <alignment horizontal="center" vertical="center" wrapText="1"/>
      <protection locked="0"/>
    </xf>
    <xf numFmtId="0" fontId="4" fillId="6" borderId="23" xfId="0" applyFont="1" applyFill="1" applyBorder="1" applyAlignment="1" applyProtection="1">
      <alignment horizontal="center" vertical="center" wrapText="1"/>
      <protection locked="0"/>
    </xf>
    <xf numFmtId="0" fontId="4" fillId="6" borderId="32" xfId="0" applyFont="1" applyFill="1" applyBorder="1" applyAlignment="1" applyProtection="1">
      <alignment horizontal="center" vertical="center" wrapText="1"/>
      <protection locked="0"/>
    </xf>
    <xf numFmtId="0" fontId="4" fillId="6" borderId="33" xfId="0" applyFont="1" applyFill="1" applyBorder="1" applyAlignment="1" applyProtection="1">
      <alignment horizontal="center" vertical="center" wrapText="1"/>
      <protection locked="0"/>
    </xf>
    <xf numFmtId="0" fontId="4" fillId="6" borderId="34" xfId="0" applyFont="1" applyFill="1" applyBorder="1" applyAlignment="1" applyProtection="1">
      <alignment horizontal="center" vertical="center" wrapText="1"/>
      <protection locked="0"/>
    </xf>
    <xf numFmtId="0" fontId="4" fillId="6" borderId="29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7" borderId="3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/>
      <protection locked="0"/>
    </xf>
    <xf numFmtId="0" fontId="4" fillId="6" borderId="39" xfId="0" applyFont="1" applyFill="1" applyBorder="1" applyAlignment="1" applyProtection="1">
      <alignment horizontal="center" vertical="center"/>
      <protection locked="0"/>
    </xf>
    <xf numFmtId="0" fontId="4" fillId="6" borderId="40" xfId="0" applyFont="1" applyFill="1" applyBorder="1" applyAlignment="1" applyProtection="1">
      <alignment horizontal="center" vertical="center"/>
      <protection locked="0"/>
    </xf>
    <xf numFmtId="0" fontId="0" fillId="5" borderId="53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54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39800"/>
      <color rgb="FF00A0E9"/>
      <color rgb="FFE60012"/>
      <color rgb="FF009944"/>
      <color rgb="FFFFF100"/>
      <color rgb="FFE4007F"/>
      <color rgb="FFF9C270"/>
      <color rgb="FFEF845C"/>
      <color rgb="FF00A95F"/>
      <color rgb="FF187F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19035893607322E-2"/>
          <c:y val="6.5934065934065936E-2"/>
          <c:w val="0.90919381333645177"/>
          <c:h val="0.88224625767932841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グラフ用データ!$C$40</c:f>
              <c:strCache>
                <c:ptCount val="1"/>
                <c:pt idx="0">
                  <c:v>既存コスト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グラフ用データ!$C$41:$C$60</c:f>
              <c:numCache>
                <c:formatCode>#,##0_);[Red]\(#,##0\)</c:formatCode>
                <c:ptCount val="20"/>
                <c:pt idx="0">
                  <c:v>11583587.699999999</c:v>
                </c:pt>
                <c:pt idx="1">
                  <c:v>18775175.399999999</c:v>
                </c:pt>
                <c:pt idx="2">
                  <c:v>25966763.099999998</c:v>
                </c:pt>
                <c:pt idx="3">
                  <c:v>33158350.799999997</c:v>
                </c:pt>
                <c:pt idx="4">
                  <c:v>44741938.5</c:v>
                </c:pt>
                <c:pt idx="5">
                  <c:v>51933526.200000003</c:v>
                </c:pt>
                <c:pt idx="6">
                  <c:v>59125113.900000006</c:v>
                </c:pt>
                <c:pt idx="7">
                  <c:v>66316701.600000009</c:v>
                </c:pt>
                <c:pt idx="8">
                  <c:v>77900289.300000012</c:v>
                </c:pt>
                <c:pt idx="9">
                  <c:v>85091877.000000015</c:v>
                </c:pt>
                <c:pt idx="10">
                  <c:v>92283464.700000018</c:v>
                </c:pt>
                <c:pt idx="11">
                  <c:v>99475052.400000021</c:v>
                </c:pt>
                <c:pt idx="12">
                  <c:v>111058640.10000002</c:v>
                </c:pt>
                <c:pt idx="13">
                  <c:v>118250227.80000003</c:v>
                </c:pt>
                <c:pt idx="14">
                  <c:v>125441815.50000003</c:v>
                </c:pt>
                <c:pt idx="15">
                  <c:v>132633403.20000003</c:v>
                </c:pt>
                <c:pt idx="16">
                  <c:v>144216990.90000004</c:v>
                </c:pt>
                <c:pt idx="17">
                  <c:v>151408578.60000002</c:v>
                </c:pt>
                <c:pt idx="18">
                  <c:v>158600166.30000001</c:v>
                </c:pt>
                <c:pt idx="19">
                  <c:v>165791754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F-4FBF-9011-326591BF6084}"/>
            </c:ext>
          </c:extLst>
        </c:ser>
        <c:ser>
          <c:idx val="1"/>
          <c:order val="1"/>
          <c:tx>
            <c:strRef>
              <c:f>グラフ用データ!$D$40</c:f>
              <c:strCache>
                <c:ptCount val="1"/>
                <c:pt idx="0">
                  <c:v>LEDコスト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グラフ用データ!$D$41:$D$60</c:f>
              <c:numCache>
                <c:formatCode>#,##0_);[Red]\(#,##0\)</c:formatCode>
                <c:ptCount val="20"/>
                <c:pt idx="0">
                  <c:v>13254274.35</c:v>
                </c:pt>
                <c:pt idx="1">
                  <c:v>15998048.699999999</c:v>
                </c:pt>
                <c:pt idx="2">
                  <c:v>18741823.050000001</c:v>
                </c:pt>
                <c:pt idx="3">
                  <c:v>21485597.400000002</c:v>
                </c:pt>
                <c:pt idx="4">
                  <c:v>24229371.750000004</c:v>
                </c:pt>
                <c:pt idx="5">
                  <c:v>26973146.100000005</c:v>
                </c:pt>
                <c:pt idx="6">
                  <c:v>29716920.450000007</c:v>
                </c:pt>
                <c:pt idx="7">
                  <c:v>32460694.800000008</c:v>
                </c:pt>
                <c:pt idx="8">
                  <c:v>35204469.150000006</c:v>
                </c:pt>
                <c:pt idx="9">
                  <c:v>37948243.500000007</c:v>
                </c:pt>
                <c:pt idx="10">
                  <c:v>40692017.850000009</c:v>
                </c:pt>
                <c:pt idx="11">
                  <c:v>44863792.20000001</c:v>
                </c:pt>
                <c:pt idx="12">
                  <c:v>47607566.550000012</c:v>
                </c:pt>
                <c:pt idx="13">
                  <c:v>50351340.900000013</c:v>
                </c:pt>
                <c:pt idx="14">
                  <c:v>62177615.250000015</c:v>
                </c:pt>
                <c:pt idx="15">
                  <c:v>64921389.600000016</c:v>
                </c:pt>
                <c:pt idx="16">
                  <c:v>67665163.950000018</c:v>
                </c:pt>
                <c:pt idx="17">
                  <c:v>70408938.300000012</c:v>
                </c:pt>
                <c:pt idx="18">
                  <c:v>73152712.650000006</c:v>
                </c:pt>
                <c:pt idx="19">
                  <c:v>75896487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F-4FBF-9011-326591BF6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018992"/>
        <c:axId val="238525440"/>
      </c:lineChart>
      <c:catAx>
        <c:axId val="2810189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38525440"/>
        <c:crosses val="autoZero"/>
        <c:auto val="1"/>
        <c:lblAlgn val="ctr"/>
        <c:lblOffset val="100"/>
        <c:noMultiLvlLbl val="0"/>
      </c:catAx>
      <c:valAx>
        <c:axId val="23852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018992"/>
        <c:crosses val="autoZero"/>
        <c:crossBetween val="between"/>
        <c:dispUnits>
          <c:builtInUnit val="tenThousands"/>
        </c:dispUnits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549384504173116"/>
          <c:y val="4.1207925932335417E-2"/>
          <c:w val="0.1740803229212762"/>
          <c:h val="0.11393735502910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48957999402225E-2"/>
          <c:y val="0"/>
          <c:w val="0.90918422411272704"/>
          <c:h val="0.62002370536914397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①と⑦</c:v>
          </c:tx>
          <c:spPr>
            <a:gradFill flip="none" rotWithShape="1">
              <a:gsLst>
                <a:gs pos="0">
                  <a:srgbClr val="E60012">
                    <a:shade val="30000"/>
                    <a:satMod val="115000"/>
                  </a:srgbClr>
                </a:gs>
                <a:gs pos="50000">
                  <a:srgbClr val="E60012">
                    <a:shade val="67500"/>
                    <a:satMod val="115000"/>
                  </a:srgbClr>
                </a:gs>
                <a:gs pos="100000">
                  <a:srgbClr val="E60012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E5-459F-8A6A-932B5D19684F}"/>
              </c:ext>
            </c:extLst>
          </c:dPt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グラフ用データ!$B$24:$C$24</c:f>
              <c:numCache>
                <c:formatCode>General</c:formatCode>
                <c:ptCount val="2"/>
                <c:pt idx="0">
                  <c:v>19381.5</c:v>
                </c:pt>
                <c:pt idx="1">
                  <c:v>52560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5-459F-8A6A-932B5D19684F}"/>
            </c:ext>
          </c:extLst>
        </c:ser>
        <c:ser>
          <c:idx val="1"/>
          <c:order val="1"/>
          <c:tx>
            <c:v>②と⑧</c:v>
          </c:tx>
          <c:spPr>
            <a:gradFill flip="none" rotWithShape="1">
              <a:gsLst>
                <a:gs pos="0">
                  <a:srgbClr val="FFF100">
                    <a:shade val="30000"/>
                    <a:satMod val="115000"/>
                  </a:srgbClr>
                </a:gs>
                <a:gs pos="50000">
                  <a:srgbClr val="FFF100">
                    <a:shade val="67500"/>
                    <a:satMod val="115000"/>
                  </a:srgbClr>
                </a:gs>
                <a:gs pos="100000">
                  <a:srgbClr val="FFF1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FFF100">
                      <a:shade val="30000"/>
                      <a:satMod val="115000"/>
                    </a:srgbClr>
                  </a:gs>
                  <a:gs pos="50000">
                    <a:srgbClr val="FFF100">
                      <a:shade val="67500"/>
                      <a:satMod val="115000"/>
                    </a:srgbClr>
                  </a:gs>
                  <a:gs pos="100000">
                    <a:srgbClr val="FFF10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5-459F-8A6A-932B5D19684F}"/>
              </c:ext>
            </c:extLst>
          </c:dPt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グラフ用データ!$B$25:$C$25</c:f>
              <c:numCache>
                <c:formatCode>General</c:formatCode>
                <c:ptCount val="2"/>
                <c:pt idx="0">
                  <c:v>12942.9</c:v>
                </c:pt>
                <c:pt idx="1">
                  <c:v>72708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E5-459F-8A6A-932B5D19684F}"/>
            </c:ext>
          </c:extLst>
        </c:ser>
        <c:ser>
          <c:idx val="2"/>
          <c:order val="2"/>
          <c:tx>
            <c:v>③と⑨</c:v>
          </c:tx>
          <c:spPr>
            <a:gradFill flip="none" rotWithShape="1">
              <a:gsLst>
                <a:gs pos="0">
                  <a:srgbClr val="00A0E9">
                    <a:shade val="30000"/>
                    <a:satMod val="115000"/>
                  </a:srgbClr>
                </a:gs>
                <a:gs pos="50000">
                  <a:srgbClr val="00A0E9">
                    <a:shade val="67500"/>
                    <a:satMod val="115000"/>
                  </a:srgbClr>
                </a:gs>
                <a:gs pos="100000">
                  <a:srgbClr val="00A0E9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00A0E9">
                      <a:shade val="30000"/>
                      <a:satMod val="115000"/>
                    </a:srgbClr>
                  </a:gs>
                  <a:gs pos="50000">
                    <a:srgbClr val="00A0E9">
                      <a:shade val="67500"/>
                      <a:satMod val="115000"/>
                    </a:srgbClr>
                  </a:gs>
                  <a:gs pos="100000">
                    <a:srgbClr val="00A0E9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E5-459F-8A6A-932B5D19684F}"/>
              </c:ext>
            </c:extLst>
          </c:dPt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グラフ用データ!$B$26:$C$26</c:f>
              <c:numCache>
                <c:formatCode>General</c:formatCode>
                <c:ptCount val="2"/>
                <c:pt idx="0">
                  <c:v>27101.25</c:v>
                </c:pt>
                <c:pt idx="1">
                  <c:v>45442.5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E5-459F-8A6A-932B5D19684F}"/>
            </c:ext>
          </c:extLst>
        </c:ser>
        <c:ser>
          <c:idx val="3"/>
          <c:order val="3"/>
          <c:tx>
            <c:v>④と⑩</c:v>
          </c:tx>
          <c:spPr>
            <a:gradFill flip="none" rotWithShape="1">
              <a:gsLst>
                <a:gs pos="0">
                  <a:srgbClr val="F39800">
                    <a:shade val="30000"/>
                    <a:satMod val="115000"/>
                  </a:srgbClr>
                </a:gs>
                <a:gs pos="50000">
                  <a:srgbClr val="F39800">
                    <a:shade val="67500"/>
                    <a:satMod val="115000"/>
                  </a:srgbClr>
                </a:gs>
                <a:gs pos="100000">
                  <a:srgbClr val="F398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F39800">
                      <a:shade val="30000"/>
                      <a:satMod val="115000"/>
                    </a:srgbClr>
                  </a:gs>
                  <a:gs pos="50000">
                    <a:srgbClr val="F39800">
                      <a:shade val="67500"/>
                      <a:satMod val="115000"/>
                    </a:srgbClr>
                  </a:gs>
                  <a:gs pos="100000">
                    <a:srgbClr val="F3980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5-459F-8A6A-932B5D19684F}"/>
              </c:ext>
            </c:extLst>
          </c:dPt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グラフ用データ!$B$27:$C$27</c:f>
              <c:numCache>
                <c:formatCode>General</c:formatCode>
                <c:ptCount val="2"/>
                <c:pt idx="0">
                  <c:v>6131.9999999999991</c:v>
                </c:pt>
                <c:pt idx="1">
                  <c:v>38325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E5-459F-8A6A-932B5D19684F}"/>
            </c:ext>
          </c:extLst>
        </c:ser>
        <c:ser>
          <c:idx val="7"/>
          <c:order val="4"/>
          <c:tx>
            <c:v>⑤と⑪</c:v>
          </c:tx>
          <c:spPr>
            <a:gradFill flip="none" rotWithShape="1">
              <a:gsLst>
                <a:gs pos="0">
                  <a:srgbClr val="E4007F">
                    <a:shade val="30000"/>
                    <a:satMod val="115000"/>
                  </a:srgbClr>
                </a:gs>
                <a:gs pos="50000">
                  <a:srgbClr val="E4007F">
                    <a:shade val="67500"/>
                    <a:satMod val="115000"/>
                  </a:srgbClr>
                </a:gs>
                <a:gs pos="100000">
                  <a:srgbClr val="E4007F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グラフ用データ!$B$28:$C$28</c:f>
              <c:numCache>
                <c:formatCode>General</c:formatCode>
                <c:ptCount val="2"/>
                <c:pt idx="0">
                  <c:v>14016</c:v>
                </c:pt>
                <c:pt idx="1">
                  <c:v>87600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E5-459F-8A6A-932B5D19684F}"/>
            </c:ext>
          </c:extLst>
        </c:ser>
        <c:ser>
          <c:idx val="8"/>
          <c:order val="5"/>
          <c:tx>
            <c:v>⑥と⑫</c:v>
          </c:tx>
          <c:spPr>
            <a:gradFill flip="none" rotWithShape="1">
              <a:gsLst>
                <a:gs pos="0">
                  <a:schemeClr val="accent5">
                    <a:shade val="30000"/>
                    <a:satMod val="115000"/>
                  </a:schemeClr>
                </a:gs>
                <a:gs pos="50000">
                  <a:schemeClr val="accent5">
                    <a:shade val="67500"/>
                    <a:satMod val="115000"/>
                  </a:schemeClr>
                </a:gs>
                <a:gs pos="100000">
                  <a:schemeClr val="accent5">
                    <a:shade val="100000"/>
                    <a:satMod val="115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グラフ用データ!$B$29:$C$29</c:f>
              <c:numCache>
                <c:formatCode>General</c:formatCode>
                <c:ptCount val="2"/>
                <c:pt idx="0">
                  <c:v>8935.2000000000007</c:v>
                </c:pt>
                <c:pt idx="1">
                  <c:v>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E5-459F-8A6A-932B5D19684F}"/>
            </c:ext>
          </c:extLst>
        </c:ser>
        <c:ser>
          <c:idx val="4"/>
          <c:order val="6"/>
          <c:tx>
            <c:v>削減割合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グラフ用データ!$B$30:$C$30</c:f>
              <c:numCache>
                <c:formatCode>General</c:formatCode>
                <c:ptCount val="2"/>
                <c:pt idx="0">
                  <c:v>227179.65000000002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E5-459F-8A6A-932B5D196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1629104"/>
        <c:axId val="238026088"/>
      </c:barChart>
      <c:barChart>
        <c:barDir val="bar"/>
        <c:grouping val="percentStacked"/>
        <c:varyColors val="0"/>
        <c:ser>
          <c:idx val="5"/>
          <c:order val="7"/>
          <c:tx>
            <c:v>総コスト（消費電力）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グラフ用データ!$B$31:$C$31</c:f>
              <c:numCache>
                <c:formatCode>General</c:formatCode>
                <c:ptCount val="2"/>
                <c:pt idx="0">
                  <c:v>88508.849999999991</c:v>
                </c:pt>
                <c:pt idx="1">
                  <c:v>315688.5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E5-459F-8A6A-932B5D19684F}"/>
            </c:ext>
          </c:extLst>
        </c:ser>
        <c:ser>
          <c:idx val="6"/>
          <c:order val="8"/>
          <c:tx>
            <c:v>削減割合</c:v>
          </c:tx>
          <c:spPr>
            <a:gradFill flip="none" rotWithShape="1">
              <a:gsLst>
                <a:gs pos="0">
                  <a:srgbClr val="009944"/>
                </a:gs>
                <a:gs pos="50000">
                  <a:srgbClr val="92D050">
                    <a:shade val="67500"/>
                    <a:satMod val="115000"/>
                  </a:srgbClr>
                </a:gs>
                <a:gs pos="100000">
                  <a:srgbClr val="92D05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009944"/>
                  </a:gs>
                  <a:gs pos="50000">
                    <a:srgbClr val="92D050">
                      <a:shade val="67500"/>
                      <a:satMod val="115000"/>
                    </a:srgbClr>
                  </a:gs>
                  <a:gs pos="100000">
                    <a:srgbClr val="92D05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EE5-459F-8A6A-932B5D19684F}"/>
              </c:ext>
            </c:extLst>
          </c:dPt>
          <c:cat>
            <c:strRef>
              <c:f>グラフ用データ!$B$23:$C$23</c:f>
              <c:strCache>
                <c:ptCount val="2"/>
                <c:pt idx="0">
                  <c:v>LED</c:v>
                </c:pt>
                <c:pt idx="1">
                  <c:v>既存</c:v>
                </c:pt>
              </c:strCache>
            </c:strRef>
          </c:cat>
          <c:val>
            <c:numRef>
              <c:f>グラフ用データ!$B$32:$C$32</c:f>
              <c:numCache>
                <c:formatCode>General</c:formatCode>
                <c:ptCount val="2"/>
                <c:pt idx="0">
                  <c:v>227179.65000000002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E5-459F-8A6A-932B5D196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serLines>
        <c:axId val="238506336"/>
        <c:axId val="238505944"/>
      </c:barChart>
      <c:catAx>
        <c:axId val="281629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026088"/>
        <c:crosses val="autoZero"/>
        <c:auto val="1"/>
        <c:lblAlgn val="ctr"/>
        <c:lblOffset val="100"/>
        <c:noMultiLvlLbl val="0"/>
      </c:catAx>
      <c:valAx>
        <c:axId val="238026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81629104"/>
        <c:crosses val="autoZero"/>
        <c:crossBetween val="between"/>
      </c:valAx>
      <c:valAx>
        <c:axId val="2385059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38506336"/>
        <c:crosses val="max"/>
        <c:crossBetween val="between"/>
      </c:valAx>
      <c:catAx>
        <c:axId val="238506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8505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0</xdr:row>
      <xdr:rowOff>66675</xdr:rowOff>
    </xdr:from>
    <xdr:to>
      <xdr:col>59</xdr:col>
      <xdr:colOff>41032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66675"/>
          <a:ext cx="117450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190085</xdr:colOff>
      <xdr:row>30</xdr:row>
      <xdr:rowOff>71646</xdr:rowOff>
    </xdr:from>
    <xdr:to>
      <xdr:col>66</xdr:col>
      <xdr:colOff>66260</xdr:colOff>
      <xdr:row>43</xdr:row>
      <xdr:rowOff>24849</xdr:rowOff>
    </xdr:to>
    <xdr:graphicFrame macro="">
      <xdr:nvGraphicFramePr>
        <xdr:cNvPr id="14" name="グラフ 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33536</xdr:rowOff>
    </xdr:from>
    <xdr:to>
      <xdr:col>3</xdr:col>
      <xdr:colOff>85725</xdr:colOff>
      <xdr:row>22</xdr:row>
      <xdr:rowOff>117605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0" y="2302971"/>
          <a:ext cx="690355" cy="191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削減割合</a:t>
          </a:r>
        </a:p>
      </xdr:txBody>
    </xdr:sp>
    <xdr:clientData/>
  </xdr:twoCellAnchor>
  <xdr:twoCellAnchor>
    <xdr:from>
      <xdr:col>6</xdr:col>
      <xdr:colOff>143608</xdr:colOff>
      <xdr:row>21</xdr:row>
      <xdr:rowOff>70875</xdr:rowOff>
    </xdr:from>
    <xdr:to>
      <xdr:col>7</xdr:col>
      <xdr:colOff>76933</xdr:colOff>
      <xdr:row>22</xdr:row>
      <xdr:rowOff>69218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5195" y="2340310"/>
          <a:ext cx="98977" cy="106017"/>
        </a:xfrm>
        <a:prstGeom prst="rect">
          <a:avLst/>
        </a:prstGeom>
        <a:solidFill>
          <a:srgbClr val="E6001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55828</xdr:colOff>
      <xdr:row>21</xdr:row>
      <xdr:rowOff>70875</xdr:rowOff>
    </xdr:from>
    <xdr:to>
      <xdr:col>10</xdr:col>
      <xdr:colOff>150346</xdr:colOff>
      <xdr:row>22</xdr:row>
      <xdr:rowOff>69218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820024" y="2340310"/>
          <a:ext cx="94518" cy="106017"/>
        </a:xfrm>
        <a:prstGeom prst="rect">
          <a:avLst/>
        </a:prstGeom>
        <a:solidFill>
          <a:srgbClr val="FFF1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129241</xdr:colOff>
      <xdr:row>21</xdr:row>
      <xdr:rowOff>70875</xdr:rowOff>
    </xdr:from>
    <xdr:to>
      <xdr:col>14</xdr:col>
      <xdr:colOff>63299</xdr:colOff>
      <xdr:row>22</xdr:row>
      <xdr:rowOff>69218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390393" y="2340310"/>
          <a:ext cx="99710" cy="106017"/>
        </a:xfrm>
        <a:prstGeom prst="rect">
          <a:avLst/>
        </a:prstGeom>
        <a:solidFill>
          <a:srgbClr val="00A0E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42194</xdr:colOff>
      <xdr:row>21</xdr:row>
      <xdr:rowOff>70875</xdr:rowOff>
    </xdr:from>
    <xdr:to>
      <xdr:col>17</xdr:col>
      <xdr:colOff>137444</xdr:colOff>
      <xdr:row>22</xdr:row>
      <xdr:rowOff>69218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965955" y="2340310"/>
          <a:ext cx="95250" cy="106017"/>
        </a:xfrm>
        <a:prstGeom prst="rect">
          <a:avLst/>
        </a:prstGeom>
        <a:solidFill>
          <a:srgbClr val="F398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116339</xdr:colOff>
      <xdr:row>21</xdr:row>
      <xdr:rowOff>70875</xdr:rowOff>
    </xdr:from>
    <xdr:to>
      <xdr:col>21</xdr:col>
      <xdr:colOff>49664</xdr:colOff>
      <xdr:row>22</xdr:row>
      <xdr:rowOff>69218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537056" y="2340310"/>
          <a:ext cx="98978" cy="106017"/>
        </a:xfrm>
        <a:prstGeom prst="rect">
          <a:avLst/>
        </a:prstGeom>
        <a:solidFill>
          <a:srgbClr val="E4007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28559</xdr:colOff>
      <xdr:row>21</xdr:row>
      <xdr:rowOff>70875</xdr:rowOff>
    </xdr:from>
    <xdr:to>
      <xdr:col>24</xdr:col>
      <xdr:colOff>123076</xdr:colOff>
      <xdr:row>22</xdr:row>
      <xdr:rowOff>69218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111885" y="2340310"/>
          <a:ext cx="94517" cy="106017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23530</xdr:colOff>
      <xdr:row>22</xdr:row>
      <xdr:rowOff>132521</xdr:rowOff>
    </xdr:from>
    <xdr:to>
      <xdr:col>48</xdr:col>
      <xdr:colOff>57150</xdr:colOff>
      <xdr:row>30</xdr:row>
      <xdr:rowOff>107674</xdr:rowOff>
    </xdr:to>
    <xdr:graphicFrame macro="">
      <xdr:nvGraphicFramePr>
        <xdr:cNvPr id="33" name="グラフ 2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101971</xdr:colOff>
      <xdr:row>21</xdr:row>
      <xdr:rowOff>70875</xdr:rowOff>
    </xdr:from>
    <xdr:to>
      <xdr:col>28</xdr:col>
      <xdr:colOff>35296</xdr:colOff>
      <xdr:row>22</xdr:row>
      <xdr:rowOff>69218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682254" y="2340310"/>
          <a:ext cx="98977" cy="106017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20977</xdr:colOff>
      <xdr:row>21</xdr:row>
      <xdr:rowOff>11510</xdr:rowOff>
    </xdr:from>
    <xdr:ext cx="252000" cy="225703"/>
    <xdr:sp macro="" textlink="$J$10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53868" y="2280945"/>
          <a:ext cx="252000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fld id="{74A0C739-FF16-42A6-B22D-9AF74930642B}" type="TxLink">
            <a:rPr kumimoji="1" lang="en-US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①</a:t>
          </a:fld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94390</xdr:colOff>
      <xdr:row>21</xdr:row>
      <xdr:rowOff>11510</xdr:rowOff>
    </xdr:from>
    <xdr:ext cx="252000" cy="225703"/>
    <xdr:sp macro="" textlink="$J$12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24238" y="2280945"/>
          <a:ext cx="252000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fld id="{A673D446-E0C2-4B26-A65D-7E8EA3D736B4}" type="TxLink">
            <a:rPr kumimoji="1" lang="en-US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②</a:t>
          </a:fld>
          <a:endParaRPr kumimoji="1" lang="ja-JP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7343</xdr:colOff>
      <xdr:row>21</xdr:row>
      <xdr:rowOff>11510</xdr:rowOff>
    </xdr:from>
    <xdr:ext cx="252000" cy="225703"/>
    <xdr:sp macro="" textlink="$J$14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99800" y="2280945"/>
          <a:ext cx="252000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fld id="{13064914-50D4-4EFB-9661-57F4E2FCDF34}" type="TxLink">
            <a:rPr kumimoji="1" lang="en-US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③</a:t>
          </a:fld>
          <a:endParaRPr kumimoji="1" lang="ja-JP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81488</xdr:colOff>
      <xdr:row>21</xdr:row>
      <xdr:rowOff>11510</xdr:rowOff>
    </xdr:from>
    <xdr:ext cx="252000" cy="225703"/>
    <xdr:sp macro="" textlink="$J$16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170901" y="2280945"/>
          <a:ext cx="252000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fld id="{AB0FC925-F400-49E4-AC5E-E824B44FBD0D}" type="TxLink">
            <a:rPr kumimoji="1" lang="en-US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④</a:t>
          </a:fld>
          <a:endParaRPr kumimoji="1" lang="ja-JP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154900</xdr:colOff>
      <xdr:row>21</xdr:row>
      <xdr:rowOff>11510</xdr:rowOff>
    </xdr:from>
    <xdr:ext cx="252000" cy="225703"/>
    <xdr:sp macro="" textlink="$J$18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741270" y="2280945"/>
          <a:ext cx="252000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fld id="{3A9D7FB8-07F5-45AC-B7A0-F434FE25B9B1}" type="TxLink">
            <a:rPr kumimoji="1" lang="en-US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⑤</a:t>
          </a:fld>
          <a:endParaRPr kumimoji="1" lang="ja-JP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25</xdr:col>
      <xdr:colOff>67120</xdr:colOff>
      <xdr:row>21</xdr:row>
      <xdr:rowOff>11510</xdr:rowOff>
    </xdr:from>
    <xdr:ext cx="252000" cy="225703"/>
    <xdr:sp macro="" textlink="$J$20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316098" y="2280945"/>
          <a:ext cx="252000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fld id="{4F459849-1893-45BE-BB32-81CC8AD9C1BB}" type="TxLink">
            <a:rPr kumimoji="1" lang="en-US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⑥</a:t>
          </a:fld>
          <a:endParaRPr kumimoji="1" lang="ja-JP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28</xdr:col>
      <xdr:colOff>140535</xdr:colOff>
      <xdr:row>21</xdr:row>
      <xdr:rowOff>11510</xdr:rowOff>
    </xdr:from>
    <xdr:ext cx="590565" cy="225703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886470" y="2280945"/>
          <a:ext cx="590565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削減割合</a:t>
          </a:r>
          <a:endParaRPr kumimoji="1" lang="en-US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73374</xdr:colOff>
      <xdr:row>27</xdr:row>
      <xdr:rowOff>46174</xdr:rowOff>
    </xdr:from>
    <xdr:ext cx="299341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6700" y="3193565"/>
          <a:ext cx="299341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105839</xdr:colOff>
      <xdr:row>27</xdr:row>
      <xdr:rowOff>46174</xdr:rowOff>
    </xdr:from>
    <xdr:ext cx="338554" cy="22570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41774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11865</xdr:colOff>
      <xdr:row>27</xdr:row>
      <xdr:rowOff>46174</xdr:rowOff>
    </xdr:from>
    <xdr:ext cx="338554" cy="22570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776061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20%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83544</xdr:colOff>
      <xdr:row>27</xdr:row>
      <xdr:rowOff>46174</xdr:rowOff>
    </xdr:from>
    <xdr:ext cx="338554" cy="225703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10348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30%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155222</xdr:colOff>
      <xdr:row>27</xdr:row>
      <xdr:rowOff>46174</xdr:rowOff>
    </xdr:from>
    <xdr:ext cx="338554" cy="22570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244635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40%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23</xdr:col>
      <xdr:colOff>61248</xdr:colOff>
      <xdr:row>27</xdr:row>
      <xdr:rowOff>46174</xdr:rowOff>
    </xdr:from>
    <xdr:ext cx="338554" cy="225703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978922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50%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27</xdr:col>
      <xdr:colOff>132926</xdr:colOff>
      <xdr:row>27</xdr:row>
      <xdr:rowOff>46174</xdr:rowOff>
    </xdr:from>
    <xdr:ext cx="338554" cy="22570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13209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60%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32</xdr:col>
      <xdr:colOff>38953</xdr:colOff>
      <xdr:row>27</xdr:row>
      <xdr:rowOff>46174</xdr:rowOff>
    </xdr:from>
    <xdr:ext cx="338554" cy="22570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47496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70%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36</xdr:col>
      <xdr:colOff>110631</xdr:colOff>
      <xdr:row>27</xdr:row>
      <xdr:rowOff>46174</xdr:rowOff>
    </xdr:from>
    <xdr:ext cx="338554" cy="225703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181783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80%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41</xdr:col>
      <xdr:colOff>16657</xdr:colOff>
      <xdr:row>27</xdr:row>
      <xdr:rowOff>46174</xdr:rowOff>
    </xdr:from>
    <xdr:ext cx="338554" cy="22570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916070" y="3193565"/>
          <a:ext cx="33855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90%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45</xdr:col>
      <xdr:colOff>88334</xdr:colOff>
      <xdr:row>27</xdr:row>
      <xdr:rowOff>46174</xdr:rowOff>
    </xdr:from>
    <xdr:ext cx="392056" cy="22570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650356" y="3193565"/>
          <a:ext cx="392056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  <a:endParaRPr kumimoji="1" lang="ja-JP" altLang="en-US" sz="8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ysClr val="windowText" lastClr="000000"/>
          </a:solidFill>
        </a:ln>
      </a:spPr>
      <a:bodyPr vertOverflow="clip" horzOverflow="clip" wrap="square" rtlCol="0" anchor="ctr"/>
      <a:lstStyle>
        <a:defPPr algn="ctr">
          <a:defRPr kumimoji="1" sz="1100" b="0" i="0" u="none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"/>
  <sheetViews>
    <sheetView showGridLines="0" tabSelected="1" topLeftCell="A4" workbookViewId="0">
      <selection activeCell="AV14" sqref="AV14:AX15"/>
    </sheetView>
  </sheetViews>
  <sheetFormatPr defaultRowHeight="13.5" x14ac:dyDescent="0.15"/>
  <cols>
    <col min="1" max="1" width="3.625" customWidth="1"/>
    <col min="2" max="71" width="2.125" customWidth="1"/>
  </cols>
  <sheetData>
    <row r="1" spans="1:66" ht="9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66" t="s">
        <v>1</v>
      </c>
      <c r="R1" s="66"/>
    </row>
    <row r="2" spans="1:66" ht="9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67"/>
      <c r="R2" s="67"/>
      <c r="BI2" s="55" t="s">
        <v>7</v>
      </c>
      <c r="BJ2" s="55"/>
      <c r="BK2" s="23"/>
      <c r="BL2" s="23"/>
      <c r="BM2" s="23"/>
      <c r="BN2" s="23"/>
    </row>
    <row r="3" spans="1:66" ht="12.6" customHeight="1" x14ac:dyDescent="0.15">
      <c r="A3" s="71" t="str">
        <f>"～既存照明　"&amp;IF(既存型式71="","",既存型式71)&amp;IF(既存型式72="","","、"&amp;既存型式72)&amp;IF(既存型式73="","","、"&amp;既存型式73)&amp;IF(既存型式74="","","、"&amp;既存型式74)&amp;IF(既存型式75="","","、"&amp;既存型式75)&amp;IF(既存型式76="","","、"&amp;既存型式76)&amp;"→"</f>
        <v>～既存照明　水銀灯300w、水銀灯400W、メタハラ400W、メタハラ700W、メタハラ1000、セラメタ300W→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10" t="s">
        <v>5</v>
      </c>
      <c r="BK3" s="66"/>
      <c r="BL3" s="66"/>
      <c r="BM3" s="66"/>
      <c r="BN3" s="66"/>
    </row>
    <row r="4" spans="1:66" ht="12.6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10" t="s">
        <v>6</v>
      </c>
    </row>
    <row r="5" spans="1:66" ht="12.6" customHeight="1" x14ac:dyDescent="0.15">
      <c r="A5" s="71" t="str">
        <f>IF(LED型式71="","",LED型式71)&amp;IF(LED型式72="","","、"&amp;LED型式72)&amp;IF(LED型式73="","","、"&amp;LED型式73)&amp;IF(LED型式74="","","、"&amp;LED型式74)&amp;IF(LED型式75="","","、"&amp;LED型式75)&amp;IF(LED型式76="","","、"&amp;LED型式76)&amp;"変更後　省エネ対策の費用対効果について"</f>
        <v>エースディスク300W、エースディスク200W、エースディスク500W、ハイディスク140W、アイディスク150W、ゼットディスク変更後　省エネ対策の費用対効果について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10" t="s">
        <v>35</v>
      </c>
      <c r="BB5" s="17"/>
      <c r="BC5" s="18"/>
      <c r="BD5" s="10" t="s">
        <v>36</v>
      </c>
    </row>
    <row r="6" spans="1:66" ht="12.6" customHeight="1" x14ac:dyDescent="0.1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1:66" ht="4.3499999999999996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21"/>
      <c r="AN7" s="2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66" ht="9.9499999999999993" customHeight="1" x14ac:dyDescent="0.15">
      <c r="A8" s="162" t="s">
        <v>0</v>
      </c>
      <c r="B8" s="162"/>
      <c r="C8" s="162"/>
      <c r="D8" s="162"/>
      <c r="E8" s="162"/>
      <c r="F8" s="162"/>
      <c r="G8" s="162"/>
      <c r="H8" s="162"/>
      <c r="J8" s="97"/>
      <c r="K8" s="98"/>
      <c r="L8" s="139" t="s">
        <v>3</v>
      </c>
      <c r="M8" s="139"/>
      <c r="N8" s="139"/>
      <c r="O8" s="139"/>
      <c r="P8" s="139"/>
      <c r="Q8" s="139"/>
      <c r="R8" s="140"/>
      <c r="S8" s="138" t="s">
        <v>2</v>
      </c>
      <c r="T8" s="139"/>
      <c r="U8" s="140"/>
      <c r="V8" s="138" t="s">
        <v>41</v>
      </c>
      <c r="W8" s="139"/>
      <c r="X8" s="140"/>
      <c r="Y8" s="138" t="s">
        <v>44</v>
      </c>
      <c r="Z8" s="139"/>
      <c r="AA8" s="140"/>
      <c r="AB8" s="138" t="s">
        <v>42</v>
      </c>
      <c r="AC8" s="139"/>
      <c r="AD8" s="139"/>
      <c r="AE8" s="140"/>
      <c r="AF8" s="56" t="s">
        <v>45</v>
      </c>
      <c r="AG8" s="94"/>
      <c r="AH8" s="56" t="s">
        <v>43</v>
      </c>
      <c r="AI8" s="57"/>
      <c r="AJ8" s="57"/>
      <c r="AK8" s="58"/>
      <c r="AL8" s="20"/>
      <c r="AM8" s="66"/>
      <c r="AN8" s="134"/>
      <c r="AO8" s="62" t="s">
        <v>4</v>
      </c>
      <c r="AP8" s="62"/>
      <c r="AQ8" s="62"/>
      <c r="AR8" s="62"/>
      <c r="AS8" s="62"/>
      <c r="AT8" s="62"/>
      <c r="AU8" s="63"/>
      <c r="AV8" s="138" t="s">
        <v>2</v>
      </c>
      <c r="AW8" s="139"/>
      <c r="AX8" s="140"/>
      <c r="AY8" s="138" t="s">
        <v>41</v>
      </c>
      <c r="AZ8" s="139"/>
      <c r="BA8" s="140"/>
      <c r="BB8" s="138" t="s">
        <v>44</v>
      </c>
      <c r="BC8" s="139"/>
      <c r="BD8" s="140"/>
      <c r="BE8" s="138" t="s">
        <v>42</v>
      </c>
      <c r="BF8" s="139"/>
      <c r="BG8" s="139"/>
      <c r="BH8" s="140"/>
      <c r="BI8" s="56" t="s">
        <v>45</v>
      </c>
      <c r="BJ8" s="94"/>
      <c r="BK8" s="56" t="s">
        <v>43</v>
      </c>
      <c r="BL8" s="57"/>
      <c r="BM8" s="57"/>
      <c r="BN8" s="58"/>
    </row>
    <row r="9" spans="1:66" ht="9.9499999999999993" customHeight="1" x14ac:dyDescent="0.15">
      <c r="A9" s="162"/>
      <c r="B9" s="162"/>
      <c r="C9" s="162"/>
      <c r="D9" s="162"/>
      <c r="E9" s="162"/>
      <c r="F9" s="162"/>
      <c r="G9" s="162"/>
      <c r="H9" s="162"/>
      <c r="J9" s="99"/>
      <c r="K9" s="100"/>
      <c r="L9" s="142"/>
      <c r="M9" s="142"/>
      <c r="N9" s="142"/>
      <c r="O9" s="142"/>
      <c r="P9" s="142"/>
      <c r="Q9" s="142"/>
      <c r="R9" s="143"/>
      <c r="S9" s="141"/>
      <c r="T9" s="142"/>
      <c r="U9" s="143"/>
      <c r="V9" s="141"/>
      <c r="W9" s="142"/>
      <c r="X9" s="143"/>
      <c r="Y9" s="141"/>
      <c r="Z9" s="142"/>
      <c r="AA9" s="143"/>
      <c r="AB9" s="141"/>
      <c r="AC9" s="142"/>
      <c r="AD9" s="142"/>
      <c r="AE9" s="143"/>
      <c r="AF9" s="95"/>
      <c r="AG9" s="96"/>
      <c r="AH9" s="59"/>
      <c r="AI9" s="60"/>
      <c r="AJ9" s="60"/>
      <c r="AK9" s="61"/>
      <c r="AL9" s="20"/>
      <c r="AM9" s="67"/>
      <c r="AN9" s="100"/>
      <c r="AO9" s="64"/>
      <c r="AP9" s="64"/>
      <c r="AQ9" s="64"/>
      <c r="AR9" s="64"/>
      <c r="AS9" s="64"/>
      <c r="AT9" s="64"/>
      <c r="AU9" s="65"/>
      <c r="AV9" s="141"/>
      <c r="AW9" s="142"/>
      <c r="AX9" s="143"/>
      <c r="AY9" s="141"/>
      <c r="AZ9" s="142"/>
      <c r="BA9" s="143"/>
      <c r="BB9" s="141"/>
      <c r="BC9" s="142"/>
      <c r="BD9" s="143"/>
      <c r="BE9" s="141"/>
      <c r="BF9" s="142"/>
      <c r="BG9" s="142"/>
      <c r="BH9" s="143"/>
      <c r="BI9" s="95"/>
      <c r="BJ9" s="96"/>
      <c r="BK9" s="59"/>
      <c r="BL9" s="60"/>
      <c r="BM9" s="60"/>
      <c r="BN9" s="61"/>
    </row>
    <row r="10" spans="1:66" ht="8.1" customHeight="1" x14ac:dyDescent="0.15">
      <c r="A10" s="28" t="s">
        <v>9</v>
      </c>
      <c r="B10" s="29"/>
      <c r="C10" s="29"/>
      <c r="D10" s="29"/>
      <c r="E10" s="30"/>
      <c r="F10" s="37">
        <v>365</v>
      </c>
      <c r="G10" s="38"/>
      <c r="H10" s="39"/>
      <c r="I10" s="11"/>
      <c r="J10" s="101" t="s">
        <v>46</v>
      </c>
      <c r="K10" s="102"/>
      <c r="L10" s="91" t="s">
        <v>65</v>
      </c>
      <c r="M10" s="91"/>
      <c r="N10" s="91"/>
      <c r="O10" s="91"/>
      <c r="P10" s="91"/>
      <c r="Q10" s="91"/>
      <c r="R10" s="92"/>
      <c r="S10" s="109">
        <v>300</v>
      </c>
      <c r="T10" s="91"/>
      <c r="U10" s="92"/>
      <c r="V10" s="109">
        <v>12000</v>
      </c>
      <c r="W10" s="91"/>
      <c r="X10" s="92"/>
      <c r="Y10" s="109">
        <v>24000</v>
      </c>
      <c r="Z10" s="91"/>
      <c r="AA10" s="92"/>
      <c r="AB10" s="109">
        <v>10</v>
      </c>
      <c r="AC10" s="91"/>
      <c r="AD10" s="91"/>
      <c r="AE10" s="92"/>
      <c r="AF10" s="109">
        <v>48</v>
      </c>
      <c r="AG10" s="92"/>
      <c r="AH10" s="85">
        <f>IF(既存寿命1="","",ROUNDUP(既存寿命1/(点灯日数*既存点灯時間1),0))</f>
        <v>4</v>
      </c>
      <c r="AI10" s="86"/>
      <c r="AJ10" s="86"/>
      <c r="AK10" s="87"/>
      <c r="AL10" s="19"/>
      <c r="AM10" s="104" t="s">
        <v>53</v>
      </c>
      <c r="AN10" s="135"/>
      <c r="AO10" s="91" t="s">
        <v>63</v>
      </c>
      <c r="AP10" s="91"/>
      <c r="AQ10" s="91"/>
      <c r="AR10" s="91"/>
      <c r="AS10" s="91"/>
      <c r="AT10" s="91"/>
      <c r="AU10" s="92"/>
      <c r="AV10" s="109">
        <v>295</v>
      </c>
      <c r="AW10" s="91"/>
      <c r="AX10" s="92"/>
      <c r="AY10" s="110">
        <v>50000</v>
      </c>
      <c r="AZ10" s="111"/>
      <c r="BA10" s="112"/>
      <c r="BB10" s="109">
        <v>136500</v>
      </c>
      <c r="BC10" s="91"/>
      <c r="BD10" s="92"/>
      <c r="BE10" s="109">
        <v>10</v>
      </c>
      <c r="BF10" s="91"/>
      <c r="BG10" s="91"/>
      <c r="BH10" s="92"/>
      <c r="BI10" s="109">
        <v>18</v>
      </c>
      <c r="BJ10" s="92"/>
      <c r="BK10" s="85">
        <f>IF(LED寿命1="","",ROUNDUP(LED寿命1/(点灯日数*LED点灯時間1),0))</f>
        <v>14</v>
      </c>
      <c r="BL10" s="86"/>
      <c r="BM10" s="86"/>
      <c r="BN10" s="87"/>
    </row>
    <row r="11" spans="1:66" ht="8.1" customHeight="1" x14ac:dyDescent="0.15">
      <c r="A11" s="31"/>
      <c r="B11" s="32"/>
      <c r="C11" s="32"/>
      <c r="D11" s="32"/>
      <c r="E11" s="33"/>
      <c r="F11" s="40"/>
      <c r="G11" s="41"/>
      <c r="H11" s="42"/>
      <c r="I11" s="11"/>
      <c r="J11" s="103"/>
      <c r="K11" s="104"/>
      <c r="L11" s="93"/>
      <c r="M11" s="93"/>
      <c r="N11" s="93"/>
      <c r="O11" s="93"/>
      <c r="P11" s="93"/>
      <c r="Q11" s="93"/>
      <c r="R11" s="27"/>
      <c r="S11" s="26"/>
      <c r="T11" s="93"/>
      <c r="U11" s="27"/>
      <c r="V11" s="26"/>
      <c r="W11" s="93"/>
      <c r="X11" s="27"/>
      <c r="Y11" s="26"/>
      <c r="Z11" s="93"/>
      <c r="AA11" s="27"/>
      <c r="AB11" s="26"/>
      <c r="AC11" s="93"/>
      <c r="AD11" s="93"/>
      <c r="AE11" s="27"/>
      <c r="AF11" s="26"/>
      <c r="AG11" s="27"/>
      <c r="AH11" s="88"/>
      <c r="AI11" s="89"/>
      <c r="AJ11" s="89"/>
      <c r="AK11" s="90"/>
      <c r="AL11" s="19"/>
      <c r="AM11" s="136"/>
      <c r="AN11" s="68"/>
      <c r="AO11" s="93"/>
      <c r="AP11" s="93"/>
      <c r="AQ11" s="93"/>
      <c r="AR11" s="93"/>
      <c r="AS11" s="93"/>
      <c r="AT11" s="93"/>
      <c r="AU11" s="27"/>
      <c r="AV11" s="26"/>
      <c r="AW11" s="93"/>
      <c r="AX11" s="27"/>
      <c r="AY11" s="113"/>
      <c r="AZ11" s="114"/>
      <c r="BA11" s="115"/>
      <c r="BB11" s="26"/>
      <c r="BC11" s="93"/>
      <c r="BD11" s="27"/>
      <c r="BE11" s="26"/>
      <c r="BF11" s="93"/>
      <c r="BG11" s="93"/>
      <c r="BH11" s="27"/>
      <c r="BI11" s="26"/>
      <c r="BJ11" s="27"/>
      <c r="BK11" s="88"/>
      <c r="BL11" s="89"/>
      <c r="BM11" s="89"/>
      <c r="BN11" s="90"/>
    </row>
    <row r="12" spans="1:66" ht="8.1" customHeight="1" x14ac:dyDescent="0.15">
      <c r="A12" s="34"/>
      <c r="B12" s="35"/>
      <c r="C12" s="35"/>
      <c r="D12" s="35"/>
      <c r="E12" s="36"/>
      <c r="F12" s="43"/>
      <c r="G12" s="44"/>
      <c r="H12" s="45"/>
      <c r="I12" s="11"/>
      <c r="J12" s="105" t="s">
        <v>47</v>
      </c>
      <c r="K12" s="106"/>
      <c r="L12" s="116" t="s">
        <v>66</v>
      </c>
      <c r="M12" s="116"/>
      <c r="N12" s="116"/>
      <c r="O12" s="116"/>
      <c r="P12" s="116"/>
      <c r="Q12" s="116"/>
      <c r="R12" s="25"/>
      <c r="S12" s="24">
        <v>415</v>
      </c>
      <c r="T12" s="116"/>
      <c r="U12" s="25"/>
      <c r="V12" s="24">
        <v>12000</v>
      </c>
      <c r="W12" s="116"/>
      <c r="X12" s="25"/>
      <c r="Y12" s="24">
        <v>24000</v>
      </c>
      <c r="Z12" s="116"/>
      <c r="AA12" s="25"/>
      <c r="AB12" s="144">
        <v>10</v>
      </c>
      <c r="AC12" s="145"/>
      <c r="AD12" s="145"/>
      <c r="AE12" s="72"/>
      <c r="AF12" s="24">
        <v>48</v>
      </c>
      <c r="AG12" s="25"/>
      <c r="AH12" s="68">
        <f>IF(既存寿命2="","",ROUNDUP(既存寿命2/(点灯日数*既存点灯時間2),0))</f>
        <v>4</v>
      </c>
      <c r="AI12" s="68"/>
      <c r="AJ12" s="68"/>
      <c r="AK12" s="69"/>
      <c r="AL12" s="19"/>
      <c r="AM12" s="137" t="s">
        <v>54</v>
      </c>
      <c r="AN12" s="106"/>
      <c r="AO12" s="72" t="s">
        <v>38</v>
      </c>
      <c r="AP12" s="73"/>
      <c r="AQ12" s="73"/>
      <c r="AR12" s="73"/>
      <c r="AS12" s="73"/>
      <c r="AT12" s="73"/>
      <c r="AU12" s="73"/>
      <c r="AV12" s="144">
        <v>197</v>
      </c>
      <c r="AW12" s="145"/>
      <c r="AX12" s="72"/>
      <c r="AY12" s="24">
        <v>50000</v>
      </c>
      <c r="AZ12" s="116"/>
      <c r="BA12" s="25"/>
      <c r="BB12" s="24">
        <v>105000</v>
      </c>
      <c r="BC12" s="116"/>
      <c r="BD12" s="25"/>
      <c r="BE12" s="24">
        <v>10</v>
      </c>
      <c r="BF12" s="116"/>
      <c r="BG12" s="116"/>
      <c r="BH12" s="25"/>
      <c r="BI12" s="24">
        <v>18</v>
      </c>
      <c r="BJ12" s="25"/>
      <c r="BK12" s="68">
        <f>IF(LED寿命２="","",ROUNDUP(LED寿命２/(点灯日数*LED点灯時間2),0))</f>
        <v>14</v>
      </c>
      <c r="BL12" s="68"/>
      <c r="BM12" s="68"/>
      <c r="BN12" s="69"/>
    </row>
    <row r="13" spans="1:66" ht="8.1" customHeight="1" x14ac:dyDescent="0.15">
      <c r="A13" s="28" t="s">
        <v>8</v>
      </c>
      <c r="B13" s="29"/>
      <c r="C13" s="29"/>
      <c r="D13" s="29"/>
      <c r="E13" s="30"/>
      <c r="F13" s="37">
        <v>31</v>
      </c>
      <c r="G13" s="38"/>
      <c r="H13" s="39"/>
      <c r="I13" s="11"/>
      <c r="J13" s="103"/>
      <c r="K13" s="104"/>
      <c r="L13" s="93"/>
      <c r="M13" s="93"/>
      <c r="N13" s="93"/>
      <c r="O13" s="93"/>
      <c r="P13" s="93"/>
      <c r="Q13" s="93"/>
      <c r="R13" s="27"/>
      <c r="S13" s="26"/>
      <c r="T13" s="93"/>
      <c r="U13" s="27"/>
      <c r="V13" s="26"/>
      <c r="W13" s="93"/>
      <c r="X13" s="27"/>
      <c r="Y13" s="26"/>
      <c r="Z13" s="93"/>
      <c r="AA13" s="27"/>
      <c r="AB13" s="144"/>
      <c r="AC13" s="145"/>
      <c r="AD13" s="145"/>
      <c r="AE13" s="72"/>
      <c r="AF13" s="26"/>
      <c r="AG13" s="27"/>
      <c r="AH13" s="68"/>
      <c r="AI13" s="68"/>
      <c r="AJ13" s="68"/>
      <c r="AK13" s="69"/>
      <c r="AL13" s="19"/>
      <c r="AM13" s="89"/>
      <c r="AN13" s="104"/>
      <c r="AO13" s="72"/>
      <c r="AP13" s="73"/>
      <c r="AQ13" s="73"/>
      <c r="AR13" s="73"/>
      <c r="AS13" s="73"/>
      <c r="AT13" s="73"/>
      <c r="AU13" s="73"/>
      <c r="AV13" s="144"/>
      <c r="AW13" s="145"/>
      <c r="AX13" s="72"/>
      <c r="AY13" s="26"/>
      <c r="AZ13" s="93"/>
      <c r="BA13" s="27"/>
      <c r="BB13" s="26"/>
      <c r="BC13" s="93"/>
      <c r="BD13" s="27"/>
      <c r="BE13" s="26"/>
      <c r="BF13" s="93"/>
      <c r="BG13" s="93"/>
      <c r="BH13" s="27"/>
      <c r="BI13" s="26"/>
      <c r="BJ13" s="27"/>
      <c r="BK13" s="68"/>
      <c r="BL13" s="68"/>
      <c r="BM13" s="68"/>
      <c r="BN13" s="69"/>
    </row>
    <row r="14" spans="1:66" ht="8.1" customHeight="1" x14ac:dyDescent="0.15">
      <c r="A14" s="31"/>
      <c r="B14" s="32"/>
      <c r="C14" s="32"/>
      <c r="D14" s="32"/>
      <c r="E14" s="33"/>
      <c r="F14" s="40"/>
      <c r="G14" s="41"/>
      <c r="H14" s="42"/>
      <c r="I14" s="11"/>
      <c r="J14" s="105" t="s">
        <v>48</v>
      </c>
      <c r="K14" s="106"/>
      <c r="L14" s="160" t="s">
        <v>67</v>
      </c>
      <c r="M14" s="160"/>
      <c r="N14" s="160"/>
      <c r="O14" s="160"/>
      <c r="P14" s="160"/>
      <c r="Q14" s="160"/>
      <c r="R14" s="161"/>
      <c r="S14" s="24">
        <v>415</v>
      </c>
      <c r="T14" s="116"/>
      <c r="U14" s="25"/>
      <c r="V14" s="24">
        <v>12000</v>
      </c>
      <c r="W14" s="116"/>
      <c r="X14" s="25"/>
      <c r="Y14" s="24">
        <v>24000</v>
      </c>
      <c r="Z14" s="116"/>
      <c r="AA14" s="25"/>
      <c r="AB14" s="144">
        <v>10</v>
      </c>
      <c r="AC14" s="145"/>
      <c r="AD14" s="145"/>
      <c r="AE14" s="72"/>
      <c r="AF14" s="24">
        <v>30</v>
      </c>
      <c r="AG14" s="25"/>
      <c r="AH14" s="68">
        <f>IF(既存寿命3="","",ROUNDUP(既存寿命3/(点灯日数*既存点灯時間3),0))</f>
        <v>4</v>
      </c>
      <c r="AI14" s="68"/>
      <c r="AJ14" s="68"/>
      <c r="AK14" s="69"/>
      <c r="AL14" s="19"/>
      <c r="AM14" s="137" t="s">
        <v>55</v>
      </c>
      <c r="AN14" s="106"/>
      <c r="AO14" s="72" t="s">
        <v>70</v>
      </c>
      <c r="AP14" s="73"/>
      <c r="AQ14" s="73"/>
      <c r="AR14" s="73"/>
      <c r="AS14" s="73"/>
      <c r="AT14" s="73"/>
      <c r="AU14" s="73"/>
      <c r="AV14" s="144">
        <v>495</v>
      </c>
      <c r="AW14" s="145"/>
      <c r="AX14" s="72"/>
      <c r="AY14" s="24">
        <v>50000</v>
      </c>
      <c r="AZ14" s="116"/>
      <c r="BA14" s="25"/>
      <c r="BB14" s="24">
        <v>136500</v>
      </c>
      <c r="BC14" s="116"/>
      <c r="BD14" s="25"/>
      <c r="BE14" s="24">
        <v>10</v>
      </c>
      <c r="BF14" s="116"/>
      <c r="BG14" s="116"/>
      <c r="BH14" s="25"/>
      <c r="BI14" s="24">
        <v>15</v>
      </c>
      <c r="BJ14" s="25"/>
      <c r="BK14" s="68">
        <f>IF(LED寿命3="","",ROUNDUP(LED寿命3/(点灯日数*LED点灯時間3),0))</f>
        <v>14</v>
      </c>
      <c r="BL14" s="68"/>
      <c r="BM14" s="68"/>
      <c r="BN14" s="69"/>
    </row>
    <row r="15" spans="1:66" ht="8.1" customHeight="1" x14ac:dyDescent="0.15">
      <c r="A15" s="34"/>
      <c r="B15" s="35"/>
      <c r="C15" s="35"/>
      <c r="D15" s="35"/>
      <c r="E15" s="36"/>
      <c r="F15" s="43"/>
      <c r="G15" s="44"/>
      <c r="H15" s="45"/>
      <c r="I15" s="11"/>
      <c r="J15" s="103"/>
      <c r="K15" s="104"/>
      <c r="L15" s="93"/>
      <c r="M15" s="93"/>
      <c r="N15" s="93"/>
      <c r="O15" s="93"/>
      <c r="P15" s="93"/>
      <c r="Q15" s="93"/>
      <c r="R15" s="27"/>
      <c r="S15" s="26"/>
      <c r="T15" s="93"/>
      <c r="U15" s="27"/>
      <c r="V15" s="26"/>
      <c r="W15" s="93"/>
      <c r="X15" s="27"/>
      <c r="Y15" s="26"/>
      <c r="Z15" s="93"/>
      <c r="AA15" s="27"/>
      <c r="AB15" s="144"/>
      <c r="AC15" s="145"/>
      <c r="AD15" s="145"/>
      <c r="AE15" s="72"/>
      <c r="AF15" s="26"/>
      <c r="AG15" s="27"/>
      <c r="AH15" s="68"/>
      <c r="AI15" s="68"/>
      <c r="AJ15" s="68"/>
      <c r="AK15" s="69"/>
      <c r="AL15" s="19"/>
      <c r="AM15" s="89"/>
      <c r="AN15" s="104"/>
      <c r="AO15" s="72"/>
      <c r="AP15" s="73"/>
      <c r="AQ15" s="73"/>
      <c r="AR15" s="73"/>
      <c r="AS15" s="73"/>
      <c r="AT15" s="73"/>
      <c r="AU15" s="73"/>
      <c r="AV15" s="144"/>
      <c r="AW15" s="145"/>
      <c r="AX15" s="72"/>
      <c r="AY15" s="26"/>
      <c r="AZ15" s="93"/>
      <c r="BA15" s="27"/>
      <c r="BB15" s="26"/>
      <c r="BC15" s="93"/>
      <c r="BD15" s="27"/>
      <c r="BE15" s="26"/>
      <c r="BF15" s="93"/>
      <c r="BG15" s="93"/>
      <c r="BH15" s="27"/>
      <c r="BI15" s="26"/>
      <c r="BJ15" s="27"/>
      <c r="BK15" s="68"/>
      <c r="BL15" s="68"/>
      <c r="BM15" s="68"/>
      <c r="BN15" s="69"/>
    </row>
    <row r="16" spans="1:66" ht="8.1" customHeight="1" x14ac:dyDescent="0.15">
      <c r="A16" s="28" t="s">
        <v>60</v>
      </c>
      <c r="B16" s="29"/>
      <c r="C16" s="29"/>
      <c r="D16" s="29"/>
      <c r="E16" s="30"/>
      <c r="F16" s="46" t="s">
        <v>59</v>
      </c>
      <c r="G16" s="47"/>
      <c r="H16" s="48"/>
      <c r="I16" s="11"/>
      <c r="J16" s="105" t="s">
        <v>49</v>
      </c>
      <c r="K16" s="106"/>
      <c r="L16" s="116" t="s">
        <v>68</v>
      </c>
      <c r="M16" s="116"/>
      <c r="N16" s="116"/>
      <c r="O16" s="116"/>
      <c r="P16" s="116"/>
      <c r="Q16" s="116"/>
      <c r="R16" s="25"/>
      <c r="S16" s="24">
        <v>700</v>
      </c>
      <c r="T16" s="116"/>
      <c r="U16" s="25"/>
      <c r="V16" s="24">
        <v>12000</v>
      </c>
      <c r="W16" s="116"/>
      <c r="X16" s="25"/>
      <c r="Y16" s="24">
        <v>24000</v>
      </c>
      <c r="Z16" s="116"/>
      <c r="AA16" s="25"/>
      <c r="AB16" s="144">
        <v>10</v>
      </c>
      <c r="AC16" s="145"/>
      <c r="AD16" s="145"/>
      <c r="AE16" s="72"/>
      <c r="AF16" s="24">
        <v>15</v>
      </c>
      <c r="AG16" s="25"/>
      <c r="AH16" s="68">
        <f>IF(既存寿命4="","",ROUNDUP(既存寿命4/(点灯日数*既存点灯時間4),0))</f>
        <v>4</v>
      </c>
      <c r="AI16" s="68"/>
      <c r="AJ16" s="68"/>
      <c r="AK16" s="69"/>
      <c r="AL16" s="19"/>
      <c r="AM16" s="137" t="s">
        <v>56</v>
      </c>
      <c r="AN16" s="106"/>
      <c r="AO16" s="72" t="s">
        <v>52</v>
      </c>
      <c r="AP16" s="73"/>
      <c r="AQ16" s="73"/>
      <c r="AR16" s="73"/>
      <c r="AS16" s="73"/>
      <c r="AT16" s="73"/>
      <c r="AU16" s="73"/>
      <c r="AV16" s="144">
        <v>140</v>
      </c>
      <c r="AW16" s="145"/>
      <c r="AX16" s="72"/>
      <c r="AY16" s="24">
        <v>50000</v>
      </c>
      <c r="AZ16" s="116"/>
      <c r="BA16" s="25"/>
      <c r="BB16" s="24">
        <v>105000</v>
      </c>
      <c r="BC16" s="116"/>
      <c r="BD16" s="25"/>
      <c r="BE16" s="24">
        <v>10</v>
      </c>
      <c r="BF16" s="116"/>
      <c r="BG16" s="116"/>
      <c r="BH16" s="25"/>
      <c r="BI16" s="24">
        <v>12</v>
      </c>
      <c r="BJ16" s="25"/>
      <c r="BK16" s="68">
        <f>IF(LED寿命4="","",ROUNDUP(LED寿命4/(点灯日数*LED点灯時間4),0))</f>
        <v>14</v>
      </c>
      <c r="BL16" s="68"/>
      <c r="BM16" s="68"/>
      <c r="BN16" s="69"/>
    </row>
    <row r="17" spans="1:66" ht="8.1" customHeight="1" x14ac:dyDescent="0.15">
      <c r="A17" s="31"/>
      <c r="B17" s="32"/>
      <c r="C17" s="32"/>
      <c r="D17" s="32"/>
      <c r="E17" s="33"/>
      <c r="F17" s="49"/>
      <c r="G17" s="50"/>
      <c r="H17" s="51"/>
      <c r="I17" s="11"/>
      <c r="J17" s="105"/>
      <c r="K17" s="106"/>
      <c r="L17" s="93"/>
      <c r="M17" s="93"/>
      <c r="N17" s="93"/>
      <c r="O17" s="93"/>
      <c r="P17" s="93"/>
      <c r="Q17" s="93"/>
      <c r="R17" s="27"/>
      <c r="S17" s="26"/>
      <c r="T17" s="93"/>
      <c r="U17" s="27"/>
      <c r="V17" s="26"/>
      <c r="W17" s="93"/>
      <c r="X17" s="27"/>
      <c r="Y17" s="26"/>
      <c r="Z17" s="93"/>
      <c r="AA17" s="27"/>
      <c r="AB17" s="144"/>
      <c r="AC17" s="145"/>
      <c r="AD17" s="145"/>
      <c r="AE17" s="72"/>
      <c r="AF17" s="26"/>
      <c r="AG17" s="27"/>
      <c r="AH17" s="68"/>
      <c r="AI17" s="68"/>
      <c r="AJ17" s="68"/>
      <c r="AK17" s="69"/>
      <c r="AL17" s="19"/>
      <c r="AM17" s="89"/>
      <c r="AN17" s="104"/>
      <c r="AO17" s="72"/>
      <c r="AP17" s="73"/>
      <c r="AQ17" s="73"/>
      <c r="AR17" s="73"/>
      <c r="AS17" s="73"/>
      <c r="AT17" s="73"/>
      <c r="AU17" s="73"/>
      <c r="AV17" s="144"/>
      <c r="AW17" s="145"/>
      <c r="AX17" s="72"/>
      <c r="AY17" s="26"/>
      <c r="AZ17" s="93"/>
      <c r="BA17" s="27"/>
      <c r="BB17" s="26"/>
      <c r="BC17" s="93"/>
      <c r="BD17" s="27"/>
      <c r="BE17" s="26"/>
      <c r="BF17" s="93"/>
      <c r="BG17" s="93"/>
      <c r="BH17" s="27"/>
      <c r="BI17" s="26"/>
      <c r="BJ17" s="27"/>
      <c r="BK17" s="68"/>
      <c r="BL17" s="68"/>
      <c r="BM17" s="68"/>
      <c r="BN17" s="69"/>
    </row>
    <row r="18" spans="1:66" ht="8.1" customHeight="1" x14ac:dyDescent="0.15">
      <c r="A18" s="34"/>
      <c r="B18" s="35"/>
      <c r="C18" s="35"/>
      <c r="D18" s="35"/>
      <c r="E18" s="36"/>
      <c r="F18" s="52"/>
      <c r="G18" s="53"/>
      <c r="H18" s="54"/>
      <c r="I18" s="11"/>
      <c r="J18" s="107" t="s">
        <v>50</v>
      </c>
      <c r="K18" s="108"/>
      <c r="L18" s="116" t="s">
        <v>69</v>
      </c>
      <c r="M18" s="116"/>
      <c r="N18" s="116"/>
      <c r="O18" s="116"/>
      <c r="P18" s="116"/>
      <c r="Q18" s="116"/>
      <c r="R18" s="25"/>
      <c r="S18" s="24">
        <v>1000</v>
      </c>
      <c r="T18" s="116"/>
      <c r="U18" s="25"/>
      <c r="V18" s="24">
        <v>12000</v>
      </c>
      <c r="W18" s="116"/>
      <c r="X18" s="25"/>
      <c r="Y18" s="24">
        <v>24000</v>
      </c>
      <c r="Z18" s="116"/>
      <c r="AA18" s="25"/>
      <c r="AB18" s="144">
        <v>10</v>
      </c>
      <c r="AC18" s="145"/>
      <c r="AD18" s="145"/>
      <c r="AE18" s="72"/>
      <c r="AF18" s="24">
        <v>24</v>
      </c>
      <c r="AG18" s="25"/>
      <c r="AH18" s="68">
        <f>IF(既存寿命5="","",ROUNDUP(既存寿命5/(点灯日数*既存点灯時間5),0))</f>
        <v>4</v>
      </c>
      <c r="AI18" s="68"/>
      <c r="AJ18" s="68"/>
      <c r="AK18" s="69"/>
      <c r="AL18" s="19"/>
      <c r="AM18" s="137" t="s">
        <v>57</v>
      </c>
      <c r="AN18" s="106"/>
      <c r="AO18" s="72" t="s">
        <v>39</v>
      </c>
      <c r="AP18" s="73"/>
      <c r="AQ18" s="73"/>
      <c r="AR18" s="73"/>
      <c r="AS18" s="73"/>
      <c r="AT18" s="73"/>
      <c r="AU18" s="73"/>
      <c r="AV18" s="144">
        <v>160</v>
      </c>
      <c r="AW18" s="145"/>
      <c r="AX18" s="72"/>
      <c r="AY18" s="24">
        <v>50000</v>
      </c>
      <c r="AZ18" s="116">
        <v>40000</v>
      </c>
      <c r="BA18" s="25"/>
      <c r="BB18" s="24">
        <v>59500</v>
      </c>
      <c r="BC18" s="116"/>
      <c r="BD18" s="25">
        <v>59500</v>
      </c>
      <c r="BE18" s="24">
        <v>10</v>
      </c>
      <c r="BF18" s="116"/>
      <c r="BG18" s="116"/>
      <c r="BH18" s="25"/>
      <c r="BI18" s="24">
        <v>24</v>
      </c>
      <c r="BJ18" s="25"/>
      <c r="BK18" s="68">
        <f>IF(LED寿命5="","",ROUNDUP(LED寿命5/(点灯日数*LED点灯時間5),0))</f>
        <v>14</v>
      </c>
      <c r="BL18" s="68"/>
      <c r="BM18" s="68"/>
      <c r="BN18" s="69"/>
    </row>
    <row r="19" spans="1:66" ht="8.1" customHeight="1" x14ac:dyDescent="0.15">
      <c r="A19" s="28" t="s">
        <v>31</v>
      </c>
      <c r="B19" s="29"/>
      <c r="C19" s="29"/>
      <c r="D19" s="29"/>
      <c r="E19" s="30"/>
      <c r="F19" s="46">
        <v>0.36199999999999999</v>
      </c>
      <c r="G19" s="47"/>
      <c r="H19" s="48"/>
      <c r="I19" s="11"/>
      <c r="J19" s="103"/>
      <c r="K19" s="104"/>
      <c r="L19" s="93"/>
      <c r="M19" s="93"/>
      <c r="N19" s="93"/>
      <c r="O19" s="93"/>
      <c r="P19" s="93"/>
      <c r="Q19" s="93"/>
      <c r="R19" s="27"/>
      <c r="S19" s="26"/>
      <c r="T19" s="93"/>
      <c r="U19" s="27"/>
      <c r="V19" s="26"/>
      <c r="W19" s="93"/>
      <c r="X19" s="27"/>
      <c r="Y19" s="26"/>
      <c r="Z19" s="93"/>
      <c r="AA19" s="27"/>
      <c r="AB19" s="144"/>
      <c r="AC19" s="145"/>
      <c r="AD19" s="145"/>
      <c r="AE19" s="72"/>
      <c r="AF19" s="26"/>
      <c r="AG19" s="27"/>
      <c r="AH19" s="68"/>
      <c r="AI19" s="68"/>
      <c r="AJ19" s="68"/>
      <c r="AK19" s="69"/>
      <c r="AL19" s="19"/>
      <c r="AM19" s="89"/>
      <c r="AN19" s="104"/>
      <c r="AO19" s="72"/>
      <c r="AP19" s="73"/>
      <c r="AQ19" s="73"/>
      <c r="AR19" s="73"/>
      <c r="AS19" s="73"/>
      <c r="AT19" s="73"/>
      <c r="AU19" s="73"/>
      <c r="AV19" s="144"/>
      <c r="AW19" s="145"/>
      <c r="AX19" s="72"/>
      <c r="AY19" s="26"/>
      <c r="AZ19" s="93"/>
      <c r="BA19" s="27"/>
      <c r="BB19" s="26"/>
      <c r="BC19" s="93"/>
      <c r="BD19" s="27"/>
      <c r="BE19" s="26"/>
      <c r="BF19" s="93"/>
      <c r="BG19" s="93"/>
      <c r="BH19" s="27"/>
      <c r="BI19" s="26"/>
      <c r="BJ19" s="27"/>
      <c r="BK19" s="68"/>
      <c r="BL19" s="68"/>
      <c r="BM19" s="68"/>
      <c r="BN19" s="69"/>
    </row>
    <row r="20" spans="1:66" ht="8.1" customHeight="1" x14ac:dyDescent="0.15">
      <c r="A20" s="31"/>
      <c r="B20" s="32"/>
      <c r="C20" s="32"/>
      <c r="D20" s="32"/>
      <c r="E20" s="33"/>
      <c r="F20" s="49"/>
      <c r="G20" s="50"/>
      <c r="H20" s="51"/>
      <c r="I20" s="11"/>
      <c r="J20" s="107" t="s">
        <v>51</v>
      </c>
      <c r="K20" s="108"/>
      <c r="L20" s="116" t="s">
        <v>64</v>
      </c>
      <c r="M20" s="116"/>
      <c r="N20" s="116"/>
      <c r="O20" s="116"/>
      <c r="P20" s="116"/>
      <c r="Q20" s="116"/>
      <c r="R20" s="25"/>
      <c r="S20" s="24">
        <v>290</v>
      </c>
      <c r="T20" s="116"/>
      <c r="U20" s="25"/>
      <c r="V20" s="24">
        <v>12000</v>
      </c>
      <c r="W20" s="116"/>
      <c r="X20" s="25"/>
      <c r="Y20" s="24">
        <v>24000</v>
      </c>
      <c r="Z20" s="116"/>
      <c r="AA20" s="25"/>
      <c r="AB20" s="144">
        <v>10</v>
      </c>
      <c r="AC20" s="145"/>
      <c r="AD20" s="145"/>
      <c r="AE20" s="72"/>
      <c r="AF20" s="24">
        <v>18</v>
      </c>
      <c r="AG20" s="25"/>
      <c r="AH20" s="68">
        <f>IF(既存寿命6="","",ROUNDUP(既存寿命6/(点灯日数*既存点灯時間6),0))</f>
        <v>4</v>
      </c>
      <c r="AI20" s="68"/>
      <c r="AJ20" s="68"/>
      <c r="AK20" s="69"/>
      <c r="AL20" s="19"/>
      <c r="AM20" s="107" t="s">
        <v>58</v>
      </c>
      <c r="AN20" s="108"/>
      <c r="AO20" s="72" t="s">
        <v>40</v>
      </c>
      <c r="AP20" s="73"/>
      <c r="AQ20" s="73"/>
      <c r="AR20" s="73"/>
      <c r="AS20" s="73"/>
      <c r="AT20" s="73"/>
      <c r="AU20" s="73"/>
      <c r="AV20" s="144">
        <v>102</v>
      </c>
      <c r="AW20" s="145"/>
      <c r="AX20" s="72"/>
      <c r="AY20" s="24">
        <v>40000</v>
      </c>
      <c r="AZ20" s="116"/>
      <c r="BA20" s="25"/>
      <c r="BB20" s="24">
        <v>59500</v>
      </c>
      <c r="BC20" s="116"/>
      <c r="BD20" s="25"/>
      <c r="BE20" s="24">
        <v>10</v>
      </c>
      <c r="BF20" s="116"/>
      <c r="BG20" s="116"/>
      <c r="BH20" s="25"/>
      <c r="BI20" s="24">
        <v>24</v>
      </c>
      <c r="BJ20" s="25"/>
      <c r="BK20" s="68">
        <f>IF(LED寿命6="","",ROUNDUP(LED寿命6/(点灯日数*LED点灯時間6),0))</f>
        <v>11</v>
      </c>
      <c r="BL20" s="68"/>
      <c r="BM20" s="68"/>
      <c r="BN20" s="69"/>
    </row>
    <row r="21" spans="1:66" ht="8.1" customHeight="1" x14ac:dyDescent="0.15">
      <c r="A21" s="34"/>
      <c r="B21" s="35"/>
      <c r="C21" s="35"/>
      <c r="D21" s="35"/>
      <c r="E21" s="36"/>
      <c r="F21" s="52"/>
      <c r="G21" s="53"/>
      <c r="H21" s="54"/>
      <c r="I21" s="11"/>
      <c r="J21" s="117"/>
      <c r="K21" s="118"/>
      <c r="L21" s="120"/>
      <c r="M21" s="120"/>
      <c r="N21" s="120"/>
      <c r="O21" s="120"/>
      <c r="P21" s="120"/>
      <c r="Q21" s="120"/>
      <c r="R21" s="121"/>
      <c r="S21" s="119"/>
      <c r="T21" s="120"/>
      <c r="U21" s="121"/>
      <c r="V21" s="119"/>
      <c r="W21" s="120"/>
      <c r="X21" s="121"/>
      <c r="Y21" s="119"/>
      <c r="Z21" s="120"/>
      <c r="AA21" s="121"/>
      <c r="AB21" s="146"/>
      <c r="AC21" s="147"/>
      <c r="AD21" s="147"/>
      <c r="AE21" s="74"/>
      <c r="AF21" s="119"/>
      <c r="AG21" s="121"/>
      <c r="AH21" s="132"/>
      <c r="AI21" s="132"/>
      <c r="AJ21" s="132"/>
      <c r="AK21" s="133"/>
      <c r="AL21" s="19"/>
      <c r="AM21" s="117"/>
      <c r="AN21" s="118"/>
      <c r="AO21" s="74"/>
      <c r="AP21" s="75"/>
      <c r="AQ21" s="75"/>
      <c r="AR21" s="75"/>
      <c r="AS21" s="75"/>
      <c r="AT21" s="75"/>
      <c r="AU21" s="75"/>
      <c r="AV21" s="146"/>
      <c r="AW21" s="147"/>
      <c r="AX21" s="74"/>
      <c r="AY21" s="119"/>
      <c r="AZ21" s="120"/>
      <c r="BA21" s="121"/>
      <c r="BB21" s="119"/>
      <c r="BC21" s="120"/>
      <c r="BD21" s="121"/>
      <c r="BE21" s="119"/>
      <c r="BF21" s="120"/>
      <c r="BG21" s="120"/>
      <c r="BH21" s="121"/>
      <c r="BI21" s="119"/>
      <c r="BJ21" s="121"/>
      <c r="BK21" s="132"/>
      <c r="BL21" s="132"/>
      <c r="BM21" s="132"/>
      <c r="BN21" s="133"/>
    </row>
    <row r="22" spans="1:66" ht="8.1" customHeight="1" thickBot="1" x14ac:dyDescent="0.2">
      <c r="A22" s="10"/>
      <c r="B22" s="11"/>
      <c r="C22" s="11"/>
      <c r="D22" s="11"/>
    </row>
    <row r="23" spans="1:66" ht="14.1" customHeight="1" x14ac:dyDescent="0.15">
      <c r="AY23" s="151" t="s">
        <v>17</v>
      </c>
      <c r="AZ23" s="152"/>
      <c r="BA23" s="152"/>
      <c r="BB23" s="152"/>
      <c r="BC23" s="152"/>
      <c r="BD23" s="152"/>
      <c r="BE23" s="153"/>
      <c r="BF23" s="154" t="str">
        <f>TEXT(グラフ用データ!D20,"#,###")&amp;"kW削減"</f>
        <v>227,180kW削減</v>
      </c>
      <c r="BG23" s="155"/>
      <c r="BH23" s="155"/>
      <c r="BI23" s="155"/>
      <c r="BJ23" s="155"/>
      <c r="BK23" s="155"/>
      <c r="BL23" s="155"/>
      <c r="BM23" s="155"/>
      <c r="BN23" s="156"/>
    </row>
    <row r="24" spans="1:66" ht="14.1" customHeight="1" thickBot="1" x14ac:dyDescent="0.2">
      <c r="AY24" s="148" t="str">
        <f>TEXT(グラフ用データ!D10,"#,###")&amp;"kwを"</f>
        <v>315,689kwを</v>
      </c>
      <c r="AZ24" s="149"/>
      <c r="BA24" s="149"/>
      <c r="BB24" s="149"/>
      <c r="BC24" s="149"/>
      <c r="BD24" s="149"/>
      <c r="BE24" s="150"/>
      <c r="BF24" s="157" t="str">
        <f>TEXT(グラフ用データ!D19,"#,###")&amp;"kwに"</f>
        <v>88,509kwに</v>
      </c>
      <c r="BG24" s="158"/>
      <c r="BH24" s="158"/>
      <c r="BI24" s="158"/>
      <c r="BJ24" s="158"/>
      <c r="BK24" s="158"/>
      <c r="BL24" s="158"/>
      <c r="BM24" s="158"/>
      <c r="BN24" s="159"/>
    </row>
    <row r="25" spans="1:66" ht="8.1" customHeight="1" thickBot="1" x14ac:dyDescent="0.2"/>
    <row r="26" spans="1:66" ht="14.1" customHeight="1" x14ac:dyDescent="0.15">
      <c r="AY26" s="151" t="s">
        <v>37</v>
      </c>
      <c r="AZ26" s="152"/>
      <c r="BA26" s="152"/>
      <c r="BB26" s="152"/>
      <c r="BC26" s="152"/>
      <c r="BD26" s="152"/>
      <c r="BE26" s="153"/>
      <c r="BF26" s="154" t="str">
        <f>TEXT(グラフ用データ!E20,"#,###")&amp;"円削減"</f>
        <v>7,042,569円削減</v>
      </c>
      <c r="BG26" s="155"/>
      <c r="BH26" s="155"/>
      <c r="BI26" s="155"/>
      <c r="BJ26" s="155"/>
      <c r="BK26" s="155"/>
      <c r="BL26" s="155"/>
      <c r="BM26" s="155"/>
      <c r="BN26" s="156"/>
    </row>
    <row r="27" spans="1:66" ht="14.1" customHeight="1" thickBot="1" x14ac:dyDescent="0.2">
      <c r="AY27" s="148" t="str">
        <f>TEXT(グラフ用データ!E10,"#,###")&amp;"円を"</f>
        <v>9,786,344円を</v>
      </c>
      <c r="AZ27" s="149"/>
      <c r="BA27" s="149"/>
      <c r="BB27" s="149"/>
      <c r="BC27" s="149"/>
      <c r="BD27" s="149"/>
      <c r="BE27" s="150"/>
      <c r="BF27" s="157" t="str">
        <f>TEXT(グラフ用データ!E19,"#,###")&amp;"円に"</f>
        <v>2,743,774円に</v>
      </c>
      <c r="BG27" s="158"/>
      <c r="BH27" s="158"/>
      <c r="BI27" s="158"/>
      <c r="BJ27" s="158"/>
      <c r="BK27" s="158"/>
      <c r="BL27" s="158"/>
      <c r="BM27" s="158"/>
      <c r="BN27" s="159"/>
    </row>
    <row r="28" spans="1:66" ht="8.1" customHeight="1" thickBot="1" x14ac:dyDescent="0.2"/>
    <row r="29" spans="1:66" ht="14.1" customHeight="1" x14ac:dyDescent="0.15">
      <c r="AY29" s="151" t="s">
        <v>32</v>
      </c>
      <c r="AZ29" s="152"/>
      <c r="BA29" s="152"/>
      <c r="BB29" s="152"/>
      <c r="BC29" s="152"/>
      <c r="BD29" s="152"/>
      <c r="BE29" s="153"/>
      <c r="BF29" s="163" t="str">
        <f>TEXT(ROUND(グラフ用データ!F20,0),"#,###")&amp;"kg削減"</f>
        <v>82,239kg削減</v>
      </c>
      <c r="BG29" s="163"/>
      <c r="BH29" s="163"/>
      <c r="BI29" s="163"/>
      <c r="BJ29" s="163"/>
      <c r="BK29" s="163"/>
      <c r="BL29" s="163"/>
      <c r="BM29" s="163"/>
      <c r="BN29" s="164"/>
    </row>
    <row r="30" spans="1:66" ht="14.1" customHeight="1" thickBot="1" x14ac:dyDescent="0.2">
      <c r="J30" s="12"/>
      <c r="K30" s="12"/>
      <c r="L30" s="12"/>
      <c r="M30" s="12"/>
      <c r="N30" s="12"/>
      <c r="O30" s="12"/>
      <c r="P30" s="12"/>
      <c r="Q30" s="12"/>
      <c r="R30" s="12"/>
      <c r="S30" s="13"/>
      <c r="T30" s="13"/>
      <c r="U30" s="13"/>
      <c r="V30" s="13"/>
      <c r="W30" s="13"/>
      <c r="X30" s="13"/>
      <c r="Y30" s="13"/>
      <c r="Z30" s="14"/>
      <c r="AA30" s="14"/>
      <c r="AB30" s="128" t="s">
        <v>33</v>
      </c>
      <c r="AC30" s="129"/>
      <c r="AD30" s="129"/>
      <c r="AE30" s="129"/>
      <c r="AF30" s="122" t="str">
        <f>IF(グラフ用データ!F22="","","約"&amp;TEXT(グラフ用データ!F22,"#%"))</f>
        <v>約72%</v>
      </c>
      <c r="AG30" s="122"/>
      <c r="AH30" s="122"/>
      <c r="AI30" s="122"/>
      <c r="AJ30" s="124" t="s">
        <v>34</v>
      </c>
      <c r="AK30" s="124"/>
      <c r="AL30" s="124"/>
      <c r="AM30" s="124"/>
      <c r="AN30" s="124"/>
      <c r="AO30" s="124"/>
      <c r="AP30" s="124"/>
      <c r="AQ30" s="125"/>
      <c r="AR30" s="12"/>
      <c r="AY30" s="148" t="str">
        <f>TEXT(グラフ用データ!F10,"#,###")&amp;"kgを"</f>
        <v>114,279kgを</v>
      </c>
      <c r="AZ30" s="149"/>
      <c r="BA30" s="149"/>
      <c r="BB30" s="149"/>
      <c r="BC30" s="149"/>
      <c r="BD30" s="149"/>
      <c r="BE30" s="150"/>
      <c r="BF30" s="165" t="str">
        <f>TEXT(グラフ用データ!F19,"#,###")&amp;"kgに"</f>
        <v>32,040kgに</v>
      </c>
      <c r="BG30" s="166"/>
      <c r="BH30" s="166"/>
      <c r="BI30" s="166"/>
      <c r="BJ30" s="166"/>
      <c r="BK30" s="166"/>
      <c r="BL30" s="166"/>
      <c r="BM30" s="166"/>
      <c r="BN30" s="167"/>
    </row>
    <row r="31" spans="1:66" ht="12" customHeight="1" x14ac:dyDescent="0.15">
      <c r="D31" s="15" t="s">
        <v>29</v>
      </c>
      <c r="I31" s="16" t="s">
        <v>28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4"/>
      <c r="AA31" s="14"/>
      <c r="AB31" s="130"/>
      <c r="AC31" s="131"/>
      <c r="AD31" s="131"/>
      <c r="AE31" s="131"/>
      <c r="AF31" s="123"/>
      <c r="AG31" s="123"/>
      <c r="AH31" s="123"/>
      <c r="AI31" s="123"/>
      <c r="AJ31" s="126"/>
      <c r="AK31" s="126"/>
      <c r="AL31" s="126"/>
      <c r="AM31" s="126"/>
      <c r="AN31" s="126"/>
      <c r="AO31" s="126"/>
      <c r="AP31" s="126"/>
      <c r="AQ31" s="127"/>
      <c r="AR31" s="12"/>
      <c r="AT31" s="10" t="str">
        <f>"※CO2排出係数は、"&amp;IF(F19=0.362,"関西電力の0.362（令和2年度実績）",F19)&amp;"にて計算しています。"</f>
        <v>※CO2排出係数は、関西電力の0.362（令和2年度実績）にて計算しています。</v>
      </c>
    </row>
    <row r="32" spans="1:66" ht="9.9499999999999993" customHeight="1" x14ac:dyDescent="0.15"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66" ht="11.1" customHeight="1" x14ac:dyDescent="0.15"/>
    <row r="34" spans="1:66" ht="11.1" customHeight="1" x14ac:dyDescent="0.15"/>
    <row r="35" spans="1:66" ht="11.1" customHeight="1" x14ac:dyDescent="0.15"/>
    <row r="36" spans="1:66" ht="11.1" customHeight="1" x14ac:dyDescent="0.15"/>
    <row r="37" spans="1:66" ht="12" customHeight="1" x14ac:dyDescent="0.15"/>
    <row r="38" spans="1:66" ht="12" customHeight="1" x14ac:dyDescent="0.15">
      <c r="I38" s="3"/>
    </row>
    <row r="39" spans="1:66" ht="12" customHeight="1" x14ac:dyDescent="0.15"/>
    <row r="40" spans="1:66" ht="12" customHeight="1" x14ac:dyDescent="0.15"/>
    <row r="41" spans="1:66" ht="12" customHeight="1" x14ac:dyDescent="0.15"/>
    <row r="42" spans="1:66" ht="12" customHeight="1" x14ac:dyDescent="0.15"/>
    <row r="43" spans="1:66" ht="7.5" customHeight="1" x14ac:dyDescent="0.15"/>
    <row r="44" spans="1:66" s="22" customFormat="1" ht="9" customHeight="1" x14ac:dyDescent="0.15">
      <c r="A44" s="81" t="s">
        <v>14</v>
      </c>
      <c r="B44" s="81"/>
      <c r="C44" s="81"/>
      <c r="D44" s="81"/>
      <c r="E44" s="81"/>
      <c r="F44" s="81"/>
      <c r="G44" s="80">
        <v>1</v>
      </c>
      <c r="H44" s="80"/>
      <c r="I44" s="80"/>
      <c r="J44" s="80">
        <v>2</v>
      </c>
      <c r="K44" s="80"/>
      <c r="L44" s="80"/>
      <c r="M44" s="80">
        <v>3</v>
      </c>
      <c r="N44" s="80"/>
      <c r="O44" s="80"/>
      <c r="P44" s="80">
        <v>4</v>
      </c>
      <c r="Q44" s="80"/>
      <c r="R44" s="80"/>
      <c r="S44" s="80">
        <v>5</v>
      </c>
      <c r="T44" s="80"/>
      <c r="U44" s="80"/>
      <c r="V44" s="80">
        <v>6</v>
      </c>
      <c r="W44" s="80"/>
      <c r="X44" s="80"/>
      <c r="Y44" s="80">
        <v>7</v>
      </c>
      <c r="Z44" s="80"/>
      <c r="AA44" s="80"/>
      <c r="AB44" s="80">
        <v>8</v>
      </c>
      <c r="AC44" s="80"/>
      <c r="AD44" s="80"/>
      <c r="AE44" s="80">
        <v>9</v>
      </c>
      <c r="AF44" s="80"/>
      <c r="AG44" s="80"/>
      <c r="AH44" s="80">
        <v>10</v>
      </c>
      <c r="AI44" s="80"/>
      <c r="AJ44" s="80"/>
      <c r="AK44" s="80">
        <v>11</v>
      </c>
      <c r="AL44" s="80"/>
      <c r="AM44" s="80"/>
      <c r="AN44" s="80">
        <v>12</v>
      </c>
      <c r="AO44" s="80"/>
      <c r="AP44" s="80"/>
      <c r="AQ44" s="80">
        <v>13</v>
      </c>
      <c r="AR44" s="80"/>
      <c r="AS44" s="80"/>
      <c r="AT44" s="80">
        <v>14</v>
      </c>
      <c r="AU44" s="80"/>
      <c r="AV44" s="80"/>
      <c r="AW44" s="80">
        <v>15</v>
      </c>
      <c r="AX44" s="80"/>
      <c r="AY44" s="80"/>
      <c r="AZ44" s="80">
        <v>16</v>
      </c>
      <c r="BA44" s="80"/>
      <c r="BB44" s="80"/>
      <c r="BC44" s="80">
        <v>17</v>
      </c>
      <c r="BD44" s="80"/>
      <c r="BE44" s="80"/>
      <c r="BF44" s="80">
        <v>18</v>
      </c>
      <c r="BG44" s="80"/>
      <c r="BH44" s="80"/>
      <c r="BI44" s="80">
        <v>19</v>
      </c>
      <c r="BJ44" s="80"/>
      <c r="BK44" s="80"/>
      <c r="BL44" s="80">
        <v>20</v>
      </c>
      <c r="BM44" s="80"/>
      <c r="BN44" s="80"/>
    </row>
    <row r="45" spans="1:66" s="22" customFormat="1" ht="9" customHeight="1" x14ac:dyDescent="0.15">
      <c r="A45" s="81" t="str">
        <f>IF(既存型式1="","",既存型式1)</f>
        <v>水銀灯300w</v>
      </c>
      <c r="B45" s="81"/>
      <c r="C45" s="81"/>
      <c r="D45" s="81"/>
      <c r="E45" s="81"/>
      <c r="F45" s="81"/>
      <c r="G45" s="76">
        <f>IF(初年度費用="含む",IF(既存単価1="","",既存単価1*既存台数1),0)</f>
        <v>1152000</v>
      </c>
      <c r="H45" s="76"/>
      <c r="I45" s="76"/>
      <c r="J45" s="76">
        <f>IF(初年度費用="含む",IF(既存時期1="",0,IF(MOD(J$44-1,既存時期1)=0,既存単価1*既存台数1,0)),IF(既存時期1="",0,IF(MOD(J$44,既存時期1)=0,既存単価1*既存台数1,0)))</f>
        <v>0</v>
      </c>
      <c r="K45" s="76"/>
      <c r="L45" s="76"/>
      <c r="M45" s="76">
        <f>IF(初年度費用="含む",IF(既存時期1="",0,IF(MOD(M$44-1,既存時期1)=0,既存単価1*既存台数1,0)),IF(既存時期1="",0,IF(MOD(M$44,既存時期1)=0,既存単価1*既存台数1,0)))</f>
        <v>0</v>
      </c>
      <c r="N45" s="76"/>
      <c r="O45" s="76"/>
      <c r="P45" s="76">
        <f>IF(初年度費用="含む",IF(既存時期1="",0,IF(MOD(P$44-1,既存時期1)=0,既存単価1*既存台数1,0)),IF(既存時期1="",0,IF(MOD(P$44,既存時期1)=0,既存単価1*既存台数1,0)))</f>
        <v>0</v>
      </c>
      <c r="Q45" s="76"/>
      <c r="R45" s="76"/>
      <c r="S45" s="76">
        <f>IF(初年度費用="含む",IF(既存時期1="",0,IF(MOD(S$44-1,既存時期1)=0,既存単価1*既存台数1,0)),IF(既存時期1="",0,IF(MOD(S$44,既存時期1)=0,既存単価1*既存台数1,0)))</f>
        <v>1152000</v>
      </c>
      <c r="T45" s="76"/>
      <c r="U45" s="76"/>
      <c r="V45" s="76">
        <f>IF(初年度費用="含む",IF(既存時期1="",0,IF(MOD(V$44-1,既存時期1)=0,既存単価1*既存台数1,0)),IF(既存時期1="",0,IF(MOD(V$44,既存時期1)=0,既存単価1*既存台数1,0)))</f>
        <v>0</v>
      </c>
      <c r="W45" s="76"/>
      <c r="X45" s="76"/>
      <c r="Y45" s="76">
        <f>IF(初年度費用="含む",IF(既存時期1="",0,IF(MOD(Y$44-1,既存時期1)=0,既存単価1*既存台数1,0)),IF(既存時期1="",0,IF(MOD(Y$44,既存時期1)=0,既存単価1*既存台数1,0)))</f>
        <v>0</v>
      </c>
      <c r="Z45" s="76"/>
      <c r="AA45" s="76"/>
      <c r="AB45" s="76">
        <f>IF(初年度費用="含む",IF(既存時期1="",0,IF(MOD(AB$44-1,既存時期1)=0,既存単価1*既存台数1,0)),IF(既存時期1="",0,IF(MOD(AB$44,既存時期1)=0,既存単価1*既存台数1,0)))</f>
        <v>0</v>
      </c>
      <c r="AC45" s="76"/>
      <c r="AD45" s="76"/>
      <c r="AE45" s="76">
        <f>IF(初年度費用="含む",IF(既存時期1="",0,IF(MOD(AE$44-1,既存時期1)=0,既存単価1*既存台数1,0)),IF(既存時期1="",0,IF(MOD(AE$44,既存時期1)=0,既存単価1*既存台数1,0)))</f>
        <v>1152000</v>
      </c>
      <c r="AF45" s="76"/>
      <c r="AG45" s="76"/>
      <c r="AH45" s="76">
        <f>IF(初年度費用="含む",IF(既存時期1="",0,IF(MOD(AH$44-1,既存時期1)=0,既存単価1*既存台数1,0)),IF(既存時期1="",0,IF(MOD(AH$44,既存時期1)=0,既存単価1*既存台数1,0)))</f>
        <v>0</v>
      </c>
      <c r="AI45" s="76"/>
      <c r="AJ45" s="76"/>
      <c r="AK45" s="76">
        <f>IF(初年度費用="含む",IF(既存時期1="",0,IF(MOD(AK$44-1,既存時期1)=0,既存単価1*既存台数1,0)),IF(既存時期1="",0,IF(MOD(AK$44,既存時期1)=0,既存単価1*既存台数1,0)))</f>
        <v>0</v>
      </c>
      <c r="AL45" s="76"/>
      <c r="AM45" s="76"/>
      <c r="AN45" s="76">
        <f>IF(初年度費用="含む",IF(既存時期1="",0,IF(MOD(AN$44-1,既存時期1)=0,既存単価1*既存台数1,0)),IF(既存時期1="",0,IF(MOD(AN$44,既存時期1)=0,既存単価1*既存台数1,0)))</f>
        <v>0</v>
      </c>
      <c r="AO45" s="76"/>
      <c r="AP45" s="76"/>
      <c r="AQ45" s="76">
        <f>IF(初年度費用="含む",IF(既存時期1="",0,IF(MOD(AQ$44-1,既存時期1)=0,既存単価1*既存台数1,0)),IF(既存時期1="",0,IF(MOD(AQ$44,既存時期1)=0,既存単価1*既存台数1,0)))</f>
        <v>1152000</v>
      </c>
      <c r="AR45" s="76"/>
      <c r="AS45" s="76"/>
      <c r="AT45" s="76">
        <f>IF(初年度費用="含む",IF(既存時期1="",0,IF(MOD(AT$44-1,既存時期1)=0,既存単価1*既存台数1,0)),IF(既存時期1="",0,IF(MOD(AT$44,既存時期1)=0,既存単価1*既存台数1,0)))</f>
        <v>0</v>
      </c>
      <c r="AU45" s="76"/>
      <c r="AV45" s="76"/>
      <c r="AW45" s="76">
        <f>IF(初年度費用="含む",IF(既存時期1="",0,IF(MOD(AW$44-1,既存時期1)=0,既存単価1*既存台数1,0)),IF(既存時期1="",0,IF(MOD(AW$44,既存時期1)=0,既存単価1*既存台数1,0)))</f>
        <v>0</v>
      </c>
      <c r="AX45" s="76"/>
      <c r="AY45" s="76"/>
      <c r="AZ45" s="76">
        <f>IF(初年度費用="含む",IF(既存時期1="",0,IF(MOD(AZ$44-1,既存時期1)=0,既存単価1*既存台数1,0)),IF(既存時期1="",0,IF(MOD(AZ$44,既存時期1)=0,既存単価1*既存台数1,0)))</f>
        <v>0</v>
      </c>
      <c r="BA45" s="76"/>
      <c r="BB45" s="76"/>
      <c r="BC45" s="76">
        <f>IF(初年度費用="含む",IF(既存時期1="",0,IF(MOD(BC$44-1,既存時期1)=0,既存単価1*既存台数1,0)),IF(既存時期1="",0,IF(MOD(BC$44,既存時期1)=0,既存単価1*既存台数1,0)))</f>
        <v>1152000</v>
      </c>
      <c r="BD45" s="76"/>
      <c r="BE45" s="76"/>
      <c r="BF45" s="76">
        <f>IF(初年度費用="含む",IF(既存時期1="",0,IF(MOD(BF$44-1,既存時期1)=0,既存単価1*既存台数1,0)),IF(既存時期1="",0,IF(MOD(BF$44,既存時期1)=0,既存単価1*既存台数1,0)))</f>
        <v>0</v>
      </c>
      <c r="BG45" s="76"/>
      <c r="BH45" s="76"/>
      <c r="BI45" s="76">
        <f>IF(初年度費用="含む",IF(既存時期1="",0,IF(MOD(BI$44-1,既存時期1)=0,既存単価1*既存台数1,0)),IF(既存時期1="",0,IF(MOD(BI$44,既存時期1)=0,既存単価1*既存台数1,0)))</f>
        <v>0</v>
      </c>
      <c r="BJ45" s="76"/>
      <c r="BK45" s="76"/>
      <c r="BL45" s="76">
        <f>IF(初年度費用="含む",IF(既存時期1="",0,IF(MOD(BL$44-1,既存時期1)=0,既存単価1*既存台数1,0)),IF(既存時期1="",0,IF(MOD(BL$44,既存時期1)=0,既存単価1*既存台数1,0)))</f>
        <v>0</v>
      </c>
      <c r="BM45" s="76"/>
      <c r="BN45" s="76"/>
    </row>
    <row r="46" spans="1:66" s="22" customFormat="1" ht="9" customHeight="1" x14ac:dyDescent="0.15">
      <c r="A46" s="81" t="str">
        <f>IF(既存型式2="","",既存型式2)</f>
        <v>水銀灯400W</v>
      </c>
      <c r="B46" s="81"/>
      <c r="C46" s="81"/>
      <c r="D46" s="81"/>
      <c r="E46" s="81"/>
      <c r="F46" s="81"/>
      <c r="G46" s="76">
        <f>IF(初年度費用="含む",IF(既存単価2="","",既存単価2*既存台数2),0)</f>
        <v>1152000</v>
      </c>
      <c r="H46" s="76"/>
      <c r="I46" s="76"/>
      <c r="J46" s="76">
        <f>IF(初年度費用="含む",IF(既存時期2="",0,IF(MOD(J$44-1,既存時期2)=0,既存単価2*既存台数2,0)),IF(既存時期2="",0,IF(MOD(J$44,既存時期2)=0,既存単価2*既存台数2,0)))</f>
        <v>0</v>
      </c>
      <c r="K46" s="76"/>
      <c r="L46" s="76"/>
      <c r="M46" s="76">
        <f>IF(初年度費用="含む",IF(既存時期2="",0,IF(MOD(M$44-1,既存時期2)=0,既存単価2*既存台数2,0)),IF(既存時期2="",0,IF(MOD(M$44,既存時期2)=0,既存単価2*既存台数2,0)))</f>
        <v>0</v>
      </c>
      <c r="N46" s="76"/>
      <c r="O46" s="76"/>
      <c r="P46" s="76">
        <f>IF(初年度費用="含む",IF(既存時期2="",0,IF(MOD(P$44-1,既存時期2)=0,既存単価2*既存台数2,0)),IF(既存時期2="",0,IF(MOD(P$44,既存時期2)=0,既存単価2*既存台数2,0)))</f>
        <v>0</v>
      </c>
      <c r="Q46" s="76"/>
      <c r="R46" s="76"/>
      <c r="S46" s="76">
        <f>IF(初年度費用="含む",IF(既存時期2="",0,IF(MOD(S$44-1,既存時期2)=0,既存単価2*既存台数2,0)),IF(既存時期2="",0,IF(MOD(S$44,既存時期2)=0,既存単価2*既存台数2,0)))</f>
        <v>1152000</v>
      </c>
      <c r="T46" s="76"/>
      <c r="U46" s="76"/>
      <c r="V46" s="76">
        <f>IF(初年度費用="含む",IF(既存時期2="",0,IF(MOD(V$44-1,既存時期2)=0,既存単価2*既存台数2,0)),IF(既存時期2="",0,IF(MOD(V$44,既存時期2)=0,既存単価2*既存台数2,0)))</f>
        <v>0</v>
      </c>
      <c r="W46" s="76"/>
      <c r="X46" s="76"/>
      <c r="Y46" s="76">
        <f>IF(初年度費用="含む",IF(既存時期2="",0,IF(MOD(Y$44-1,既存時期2)=0,既存単価2*既存台数2,0)),IF(既存時期2="",0,IF(MOD(Y$44,既存時期2)=0,既存単価2*既存台数2,0)))</f>
        <v>0</v>
      </c>
      <c r="Z46" s="76"/>
      <c r="AA46" s="76"/>
      <c r="AB46" s="76">
        <f>IF(初年度費用="含む",IF(既存時期2="",0,IF(MOD(AB$44-1,既存時期2)=0,既存単価2*既存台数2,0)),IF(既存時期2="",0,IF(MOD(AB$44,既存時期2)=0,既存単価2*既存台数2,0)))</f>
        <v>0</v>
      </c>
      <c r="AC46" s="76"/>
      <c r="AD46" s="76"/>
      <c r="AE46" s="76">
        <f>IF(初年度費用="含む",IF(既存時期2="",0,IF(MOD(AE$44-1,既存時期2)=0,既存単価2*既存台数2,0)),IF(既存時期2="",0,IF(MOD(AE$44,既存時期2)=0,既存単価2*既存台数2,0)))</f>
        <v>1152000</v>
      </c>
      <c r="AF46" s="76"/>
      <c r="AG46" s="76"/>
      <c r="AH46" s="76">
        <f>IF(初年度費用="含む",IF(既存時期2="",0,IF(MOD(AH$44-1,既存時期2)=0,既存単価2*既存台数2,0)),IF(既存時期2="",0,IF(MOD(AH$44,既存時期2)=0,既存単価2*既存台数2,0)))</f>
        <v>0</v>
      </c>
      <c r="AI46" s="76"/>
      <c r="AJ46" s="76"/>
      <c r="AK46" s="76">
        <f>IF(初年度費用="含む",IF(既存時期2="",0,IF(MOD(AK$44-1,既存時期2)=0,既存単価2*既存台数2,0)),IF(既存時期2="",0,IF(MOD(AK$44,既存時期2)=0,既存単価2*既存台数2,0)))</f>
        <v>0</v>
      </c>
      <c r="AL46" s="76"/>
      <c r="AM46" s="76"/>
      <c r="AN46" s="76">
        <f>IF(初年度費用="含む",IF(既存時期2="",0,IF(MOD(AN$44-1,既存時期2)=0,既存単価2*既存台数2,0)),IF(既存時期2="",0,IF(MOD(AN$44,既存時期2)=0,既存単価2*既存台数2,0)))</f>
        <v>0</v>
      </c>
      <c r="AO46" s="76"/>
      <c r="AP46" s="76"/>
      <c r="AQ46" s="76">
        <f>IF(初年度費用="含む",IF(既存時期2="",0,IF(MOD(AQ$44-1,既存時期2)=0,既存単価2*既存台数2,0)),IF(既存時期2="",0,IF(MOD(AQ$44,既存時期2)=0,既存単価2*既存台数2,0)))</f>
        <v>1152000</v>
      </c>
      <c r="AR46" s="76"/>
      <c r="AS46" s="76"/>
      <c r="AT46" s="76">
        <f>IF(初年度費用="含む",IF(既存時期2="",0,IF(MOD(AT$44-1,既存時期2)=0,既存単価2*既存台数2,0)),IF(既存時期2="",0,IF(MOD(AT$44,既存時期2)=0,既存単価2*既存台数2,0)))</f>
        <v>0</v>
      </c>
      <c r="AU46" s="76"/>
      <c r="AV46" s="76"/>
      <c r="AW46" s="76">
        <f>IF(初年度費用="含む",IF(既存時期2="",0,IF(MOD(AW$44-1,既存時期2)=0,既存単価2*既存台数2,0)),IF(既存時期2="",0,IF(MOD(AW$44,既存時期2)=0,既存単価2*既存台数2,0)))</f>
        <v>0</v>
      </c>
      <c r="AX46" s="76"/>
      <c r="AY46" s="76"/>
      <c r="AZ46" s="76">
        <f>IF(初年度費用="含む",IF(既存時期2="",0,IF(MOD(AZ$44-1,既存時期2)=0,既存単価2*既存台数2,0)),IF(既存時期2="",0,IF(MOD(AZ$44,既存時期2)=0,既存単価2*既存台数2,0)))</f>
        <v>0</v>
      </c>
      <c r="BA46" s="76"/>
      <c r="BB46" s="76"/>
      <c r="BC46" s="76">
        <f>IF(初年度費用="含む",IF(既存時期2="",0,IF(MOD(BC$44-1,既存時期2)=0,既存単価2*既存台数2,0)),IF(既存時期2="",0,IF(MOD(BC$44,既存時期2)=0,既存単価2*既存台数2,0)))</f>
        <v>1152000</v>
      </c>
      <c r="BD46" s="76"/>
      <c r="BE46" s="76"/>
      <c r="BF46" s="76">
        <f>IF(初年度費用="含む",IF(既存時期2="",0,IF(MOD(BF$44-1,既存時期2)=0,既存単価2*既存台数2,0)),IF(既存時期2="",0,IF(MOD(BF$44,既存時期2)=0,既存単価2*既存台数2,0)))</f>
        <v>0</v>
      </c>
      <c r="BG46" s="76"/>
      <c r="BH46" s="76"/>
      <c r="BI46" s="76">
        <f>IF(初年度費用="含む",IF(既存時期2="",0,IF(MOD(BI$44-1,既存時期2)=0,既存単価2*既存台数2,0)),IF(既存時期2="",0,IF(MOD(BI$44,既存時期2)=0,既存単価2*既存台数2,0)))</f>
        <v>0</v>
      </c>
      <c r="BJ46" s="76"/>
      <c r="BK46" s="76"/>
      <c r="BL46" s="76">
        <f>IF(初年度費用="含む",IF(既存時期2="",0,IF(MOD(BL$44-1,既存時期2)=0,既存単価2*既存台数2,0)),IF(既存時期2="",0,IF(MOD(BL$44,既存時期2)=0,既存単価2*既存台数2,0)))</f>
        <v>0</v>
      </c>
      <c r="BM46" s="76"/>
      <c r="BN46" s="76"/>
    </row>
    <row r="47" spans="1:66" s="22" customFormat="1" ht="9" customHeight="1" x14ac:dyDescent="0.15">
      <c r="A47" s="81" t="str">
        <f>IF(既存型式3="","",既存型式3)</f>
        <v>メタハラ400W</v>
      </c>
      <c r="B47" s="81"/>
      <c r="C47" s="81"/>
      <c r="D47" s="81"/>
      <c r="E47" s="81"/>
      <c r="F47" s="81"/>
      <c r="G47" s="76">
        <f>IF(初年度費用="含む",IF(既存単価3="","",既存単価3*既存台数3),0)</f>
        <v>720000</v>
      </c>
      <c r="H47" s="76"/>
      <c r="I47" s="76"/>
      <c r="J47" s="76">
        <f>IF(初年度費用="含む",IF(既存時期3="",0,IF(MOD(J$44-1,既存時期3)=0,既存単価3*既存台数3,0)),IF(既存時期3="",0,IF(MOD(J$44,既存時期3)=0,既存単価3*既存台数3,0)))</f>
        <v>0</v>
      </c>
      <c r="K47" s="76"/>
      <c r="L47" s="76"/>
      <c r="M47" s="76">
        <f>IF(初年度費用="含む",IF(既存時期3="",0,IF(MOD(M$44-1,既存時期3)=0,既存単価3*既存台数3,0)),IF(既存時期3="",0,IF(MOD(M$44,既存時期3)=0,既存単価3*既存台数3,0)))</f>
        <v>0</v>
      </c>
      <c r="N47" s="76"/>
      <c r="O47" s="76"/>
      <c r="P47" s="76">
        <f>IF(初年度費用="含む",IF(既存時期3="",0,IF(MOD(P$44-1,既存時期3)=0,既存単価3*既存台数3,0)),IF(既存時期3="",0,IF(MOD(P$44,既存時期3)=0,既存単価3*既存台数3,0)))</f>
        <v>0</v>
      </c>
      <c r="Q47" s="76"/>
      <c r="R47" s="76"/>
      <c r="S47" s="76">
        <f>IF(初年度費用="含む",IF(既存時期3="",0,IF(MOD(S$44-1,既存時期3)=0,既存単価3*既存台数3,0)),IF(既存時期3="",0,IF(MOD(S$44,既存時期3)=0,既存単価3*既存台数3,0)))</f>
        <v>720000</v>
      </c>
      <c r="T47" s="76"/>
      <c r="U47" s="76"/>
      <c r="V47" s="76">
        <f>IF(初年度費用="含む",IF(既存時期3="",0,IF(MOD(V$44-1,既存時期3)=0,既存単価3*既存台数3,0)),IF(既存時期3="",0,IF(MOD(V$44,既存時期3)=0,既存単価3*既存台数3,0)))</f>
        <v>0</v>
      </c>
      <c r="W47" s="76"/>
      <c r="X47" s="76"/>
      <c r="Y47" s="76">
        <f>IF(初年度費用="含む",IF(既存時期3="",0,IF(MOD(Y$44-1,既存時期3)=0,既存単価3*既存台数3,0)),IF(既存時期3="",0,IF(MOD(Y$44,既存時期3)=0,既存単価3*既存台数3,0)))</f>
        <v>0</v>
      </c>
      <c r="Z47" s="76"/>
      <c r="AA47" s="76"/>
      <c r="AB47" s="76">
        <f>IF(初年度費用="含む",IF(既存時期3="",0,IF(MOD(AB$44-1,既存時期3)=0,既存単価3*既存台数3,0)),IF(既存時期3="",0,IF(MOD(AB$44,既存時期3)=0,既存単価3*既存台数3,0)))</f>
        <v>0</v>
      </c>
      <c r="AC47" s="76"/>
      <c r="AD47" s="76"/>
      <c r="AE47" s="76">
        <f>IF(初年度費用="含む",IF(既存時期3="",0,IF(MOD(AE$44-1,既存時期3)=0,既存単価3*既存台数3,0)),IF(既存時期3="",0,IF(MOD(AE$44,既存時期3)=0,既存単価3*既存台数3,0)))</f>
        <v>720000</v>
      </c>
      <c r="AF47" s="76"/>
      <c r="AG47" s="76"/>
      <c r="AH47" s="76">
        <f>IF(初年度費用="含む",IF(既存時期3="",0,IF(MOD(AH$44-1,既存時期3)=0,既存単価3*既存台数3,0)),IF(既存時期3="",0,IF(MOD(AH$44,既存時期3)=0,既存単価3*既存台数3,0)))</f>
        <v>0</v>
      </c>
      <c r="AI47" s="76"/>
      <c r="AJ47" s="76"/>
      <c r="AK47" s="76">
        <f>IF(初年度費用="含む",IF(既存時期3="",0,IF(MOD(AK$44-1,既存時期3)=0,既存単価3*既存台数3,0)),IF(既存時期3="",0,IF(MOD(AK$44,既存時期3)=0,既存単価3*既存台数3,0)))</f>
        <v>0</v>
      </c>
      <c r="AL47" s="76"/>
      <c r="AM47" s="76"/>
      <c r="AN47" s="76">
        <f>IF(初年度費用="含む",IF(既存時期3="",0,IF(MOD(AN$44-1,既存時期3)=0,既存単価3*既存台数3,0)),IF(既存時期3="",0,IF(MOD(AN$44,既存時期3)=0,既存単価3*既存台数3,0)))</f>
        <v>0</v>
      </c>
      <c r="AO47" s="76"/>
      <c r="AP47" s="76"/>
      <c r="AQ47" s="76">
        <f>IF(初年度費用="含む",IF(既存時期3="",0,IF(MOD(AQ$44-1,既存時期3)=0,既存単価3*既存台数3,0)),IF(既存時期3="",0,IF(MOD(AQ$44,既存時期3)=0,既存単価3*既存台数3,0)))</f>
        <v>720000</v>
      </c>
      <c r="AR47" s="76"/>
      <c r="AS47" s="76"/>
      <c r="AT47" s="76">
        <f>IF(初年度費用="含む",IF(既存時期3="",0,IF(MOD(AT$44-1,既存時期3)=0,既存単価3*既存台数3,0)),IF(既存時期3="",0,IF(MOD(AT$44,既存時期3)=0,既存単価3*既存台数3,0)))</f>
        <v>0</v>
      </c>
      <c r="AU47" s="76"/>
      <c r="AV47" s="76"/>
      <c r="AW47" s="76">
        <f>IF(初年度費用="含む",IF(既存時期3="",0,IF(MOD(AW$44-1,既存時期3)=0,既存単価3*既存台数3,0)),IF(既存時期3="",0,IF(MOD(AW$44,既存時期3)=0,既存単価3*既存台数3,0)))</f>
        <v>0</v>
      </c>
      <c r="AX47" s="76"/>
      <c r="AY47" s="76"/>
      <c r="AZ47" s="76">
        <f>IF(初年度費用="含む",IF(既存時期3="",0,IF(MOD(AZ$44-1,既存時期3)=0,既存単価3*既存台数3,0)),IF(既存時期3="",0,IF(MOD(AZ$44,既存時期3)=0,既存単価3*既存台数3,0)))</f>
        <v>0</v>
      </c>
      <c r="BA47" s="76"/>
      <c r="BB47" s="76"/>
      <c r="BC47" s="76">
        <f>IF(初年度費用="含む",IF(既存時期3="",0,IF(MOD(BC$44-1,既存時期3)=0,既存単価3*既存台数3,0)),IF(既存時期3="",0,IF(MOD(BC$44,既存時期3)=0,既存単価3*既存台数3,0)))</f>
        <v>720000</v>
      </c>
      <c r="BD47" s="76"/>
      <c r="BE47" s="76"/>
      <c r="BF47" s="76">
        <f>IF(初年度費用="含む",IF(既存時期3="",0,IF(MOD(BF$44-1,既存時期3)=0,既存単価3*既存台数3,0)),IF(既存時期3="",0,IF(MOD(BF$44,既存時期3)=0,既存単価3*既存台数3,0)))</f>
        <v>0</v>
      </c>
      <c r="BG47" s="76"/>
      <c r="BH47" s="76"/>
      <c r="BI47" s="76">
        <f>IF(初年度費用="含む",IF(既存時期3="",0,IF(MOD(BI$44-1,既存時期3)=0,既存単価3*既存台数3,0)),IF(既存時期3="",0,IF(MOD(BI$44,既存時期3)=0,既存単価3*既存台数3,0)))</f>
        <v>0</v>
      </c>
      <c r="BJ47" s="76"/>
      <c r="BK47" s="76"/>
      <c r="BL47" s="76">
        <f>IF(初年度費用="含む",IF(既存時期3="",0,IF(MOD(BL$44-1,既存時期3)=0,既存単価3*既存台数3,0)),IF(既存時期3="",0,IF(MOD(BL$44,既存時期3)=0,既存単価3*既存台数3,0)))</f>
        <v>0</v>
      </c>
      <c r="BM47" s="76"/>
      <c r="BN47" s="76"/>
    </row>
    <row r="48" spans="1:66" s="22" customFormat="1" ht="9" customHeight="1" x14ac:dyDescent="0.15">
      <c r="A48" s="81" t="str">
        <f>IF(既存型式4="","",既存型式4)</f>
        <v>メタハラ700W</v>
      </c>
      <c r="B48" s="81"/>
      <c r="C48" s="81"/>
      <c r="D48" s="81"/>
      <c r="E48" s="81"/>
      <c r="F48" s="81"/>
      <c r="G48" s="76">
        <f>IF(初年度費用="含む",IF(既存単価4="","",既存単価4*既存台数4),0)</f>
        <v>360000</v>
      </c>
      <c r="H48" s="76"/>
      <c r="I48" s="76"/>
      <c r="J48" s="76">
        <f>IF(初年度費用="含む",IF(既存時期4="",0,IF(MOD(J$44-1,既存時期4)=0,既存単価4*既存台数4,0)),IF(既存時期4="",0,IF(MOD(J$44,既存時期4)=0,既存単価4*既存台数4,0)))</f>
        <v>0</v>
      </c>
      <c r="K48" s="76"/>
      <c r="L48" s="76"/>
      <c r="M48" s="76">
        <f>IF(初年度費用="含む",IF(既存時期4="",0,IF(MOD(M$44-1,既存時期4)=0,既存単価4*既存台数4,0)),IF(既存時期4="",0,IF(MOD(M$44,既存時期4)=0,既存単価4*既存台数4,0)))</f>
        <v>0</v>
      </c>
      <c r="N48" s="76"/>
      <c r="O48" s="76"/>
      <c r="P48" s="76">
        <f>IF(初年度費用="含む",IF(既存時期4="",0,IF(MOD(P$44-1,既存時期4)=0,既存単価4*既存台数4,0)),IF(既存時期4="",0,IF(MOD(P$44,既存時期4)=0,既存単価4*既存台数4,0)))</f>
        <v>0</v>
      </c>
      <c r="Q48" s="76"/>
      <c r="R48" s="76"/>
      <c r="S48" s="76">
        <f>IF(初年度費用="含む",IF(既存時期4="",0,IF(MOD(S$44-1,既存時期4)=0,既存単価4*既存台数4,0)),IF(既存時期4="",0,IF(MOD(S$44,既存時期4)=0,既存単価4*既存台数4,0)))</f>
        <v>360000</v>
      </c>
      <c r="T48" s="76"/>
      <c r="U48" s="76"/>
      <c r="V48" s="76">
        <f>IF(初年度費用="含む",IF(既存時期4="",0,IF(MOD(V$44-1,既存時期4)=0,既存単価4*既存台数4,0)),IF(既存時期4="",0,IF(MOD(V$44,既存時期4)=0,既存単価4*既存台数4,0)))</f>
        <v>0</v>
      </c>
      <c r="W48" s="76"/>
      <c r="X48" s="76"/>
      <c r="Y48" s="76">
        <f>IF(初年度費用="含む",IF(既存時期4="",0,IF(MOD(Y$44-1,既存時期4)=0,既存単価4*既存台数4,0)),IF(既存時期4="",0,IF(MOD(Y$44,既存時期4)=0,既存単価4*既存台数4,0)))</f>
        <v>0</v>
      </c>
      <c r="Z48" s="76"/>
      <c r="AA48" s="76"/>
      <c r="AB48" s="76">
        <f>IF(初年度費用="含む",IF(既存時期4="",0,IF(MOD(AB$44-1,既存時期4)=0,既存単価4*既存台数4,0)),IF(既存時期4="",0,IF(MOD(AB$44,既存時期4)=0,既存単価4*既存台数4,0)))</f>
        <v>0</v>
      </c>
      <c r="AC48" s="76"/>
      <c r="AD48" s="76"/>
      <c r="AE48" s="76">
        <f>IF(初年度費用="含む",IF(既存時期4="",0,IF(MOD(AE$44-1,既存時期4)=0,既存単価4*既存台数4,0)),IF(既存時期4="",0,IF(MOD(AE$44,既存時期4)=0,既存単価4*既存台数4,0)))</f>
        <v>360000</v>
      </c>
      <c r="AF48" s="76"/>
      <c r="AG48" s="76"/>
      <c r="AH48" s="76">
        <f>IF(初年度費用="含む",IF(既存時期4="",0,IF(MOD(AH$44-1,既存時期4)=0,既存単価4*既存台数4,0)),IF(既存時期4="",0,IF(MOD(AH$44,既存時期4)=0,既存単価4*既存台数4,0)))</f>
        <v>0</v>
      </c>
      <c r="AI48" s="76"/>
      <c r="AJ48" s="76"/>
      <c r="AK48" s="76">
        <f>IF(初年度費用="含む",IF(既存時期4="",0,IF(MOD(AK$44-1,既存時期4)=0,既存単価4*既存台数4,0)),IF(既存時期4="",0,IF(MOD(AK$44,既存時期4)=0,既存単価4*既存台数4,0)))</f>
        <v>0</v>
      </c>
      <c r="AL48" s="76"/>
      <c r="AM48" s="76"/>
      <c r="AN48" s="76">
        <f>IF(初年度費用="含む",IF(既存時期4="",0,IF(MOD(AN$44-1,既存時期4)=0,既存単価4*既存台数4,0)),IF(既存時期4="",0,IF(MOD(AN$44,既存時期4)=0,既存単価4*既存台数4,0)))</f>
        <v>0</v>
      </c>
      <c r="AO48" s="76"/>
      <c r="AP48" s="76"/>
      <c r="AQ48" s="76">
        <f>IF(初年度費用="含む",IF(既存時期4="",0,IF(MOD(AQ$44-1,既存時期4)=0,既存単価4*既存台数4,0)),IF(既存時期4="",0,IF(MOD(AQ$44,既存時期4)=0,既存単価4*既存台数4,0)))</f>
        <v>360000</v>
      </c>
      <c r="AR48" s="76"/>
      <c r="AS48" s="76"/>
      <c r="AT48" s="76">
        <f>IF(初年度費用="含む",IF(既存時期4="",0,IF(MOD(AT$44-1,既存時期4)=0,既存単価4*既存台数4,0)),IF(既存時期4="",0,IF(MOD(AT$44,既存時期4)=0,既存単価4*既存台数4,0)))</f>
        <v>0</v>
      </c>
      <c r="AU48" s="76"/>
      <c r="AV48" s="76"/>
      <c r="AW48" s="76">
        <f>IF(初年度費用="含む",IF(既存時期4="",0,IF(MOD(AW$44-1,既存時期4)=0,既存単価4*既存台数4,0)),IF(既存時期4="",0,IF(MOD(AW$44,既存時期4)=0,既存単価4*既存台数4,0)))</f>
        <v>0</v>
      </c>
      <c r="AX48" s="76"/>
      <c r="AY48" s="76"/>
      <c r="AZ48" s="76">
        <f>IF(初年度費用="含む",IF(既存時期4="",0,IF(MOD(AZ$44-1,既存時期4)=0,既存単価4*既存台数4,0)),IF(既存時期4="",0,IF(MOD(AZ$44,既存時期4)=0,既存単価4*既存台数4,0)))</f>
        <v>0</v>
      </c>
      <c r="BA48" s="76"/>
      <c r="BB48" s="76"/>
      <c r="BC48" s="76">
        <f>IF(初年度費用="含む",IF(既存時期4="",0,IF(MOD(BC$44-1,既存時期4)=0,既存単価4*既存台数4,0)),IF(既存時期4="",0,IF(MOD(BC$44,既存時期4)=0,既存単価4*既存台数4,0)))</f>
        <v>360000</v>
      </c>
      <c r="BD48" s="76"/>
      <c r="BE48" s="76"/>
      <c r="BF48" s="76">
        <f>IF(初年度費用="含む",IF(既存時期4="",0,IF(MOD(BF$44-1,既存時期4)=0,既存単価4*既存台数4,0)),IF(既存時期4="",0,IF(MOD(BF$44,既存時期4)=0,既存単価4*既存台数4,0)))</f>
        <v>0</v>
      </c>
      <c r="BG48" s="76"/>
      <c r="BH48" s="76"/>
      <c r="BI48" s="76">
        <f>IF(初年度費用="含む",IF(既存時期4="",0,IF(MOD(BI$44-1,既存時期4)=0,既存単価4*既存台数4,0)),IF(既存時期4="",0,IF(MOD(BI$44,既存時期4)=0,既存単価4*既存台数4,0)))</f>
        <v>0</v>
      </c>
      <c r="BJ48" s="76"/>
      <c r="BK48" s="76"/>
      <c r="BL48" s="76">
        <f>IF(初年度費用="含む",IF(既存時期4="",0,IF(MOD(BL$44-1,既存時期4)=0,既存単価4*既存台数4,0)),IF(既存時期4="",0,IF(MOD(BL$44,既存時期4)=0,既存単価4*既存台数4,0)))</f>
        <v>0</v>
      </c>
      <c r="BM48" s="76"/>
      <c r="BN48" s="76"/>
    </row>
    <row r="49" spans="1:66" s="22" customFormat="1" ht="9" customHeight="1" x14ac:dyDescent="0.15">
      <c r="A49" s="81" t="str">
        <f>IF(既存型式5="","",既存型式5)</f>
        <v>メタハラ1000</v>
      </c>
      <c r="B49" s="81"/>
      <c r="C49" s="81"/>
      <c r="D49" s="81"/>
      <c r="E49" s="81"/>
      <c r="F49" s="81"/>
      <c r="G49" s="76">
        <f>IF(初年度費用="含む",IF(既存単価5="","",既存単価5*既存台数5),0)</f>
        <v>576000</v>
      </c>
      <c r="H49" s="76"/>
      <c r="I49" s="76"/>
      <c r="J49" s="76">
        <f>IF(初年度費用="含む",IF(既存時期5="",0,IF(MOD(J$44-1,既存時期5)=0,既存単価5*既存台数5,0)),IF(既存時期5="",0,IF(MOD(J$44,既存時期5)=0,既存単価5*既存台数5,0)))</f>
        <v>0</v>
      </c>
      <c r="K49" s="76"/>
      <c r="L49" s="76"/>
      <c r="M49" s="76">
        <f>IF(初年度費用="含む",IF(既存時期5="",0,IF(MOD(M$44-1,既存時期5)=0,既存単価5*既存台数5,0)),IF(既存時期5="",0,IF(MOD(M$44,既存時期5)=0,既存単価5*既存台数5,0)))</f>
        <v>0</v>
      </c>
      <c r="N49" s="76"/>
      <c r="O49" s="76"/>
      <c r="P49" s="76">
        <f>IF(初年度費用="含む",IF(既存時期5="",0,IF(MOD(P$44-1,既存時期5)=0,既存単価5*既存台数5,0)),IF(既存時期5="",0,IF(MOD(P$44,既存時期5)=0,既存単価5*既存台数5,0)))</f>
        <v>0</v>
      </c>
      <c r="Q49" s="76"/>
      <c r="R49" s="76"/>
      <c r="S49" s="76">
        <f>IF(初年度費用="含む",IF(既存時期5="",0,IF(MOD(S$44-1,既存時期5)=0,既存単価5*既存台数5,0)),IF(既存時期5="",0,IF(MOD(S$44,既存時期5)=0,既存単価5*既存台数5,0)))</f>
        <v>576000</v>
      </c>
      <c r="T49" s="76"/>
      <c r="U49" s="76"/>
      <c r="V49" s="76">
        <f>IF(初年度費用="含む",IF(既存時期5="",0,IF(MOD(V$44-1,既存時期5)=0,既存単価5*既存台数5,0)),IF(既存時期5="",0,IF(MOD(V$44,既存時期5)=0,既存単価5*既存台数5,0)))</f>
        <v>0</v>
      </c>
      <c r="W49" s="76"/>
      <c r="X49" s="76"/>
      <c r="Y49" s="76">
        <f>IF(初年度費用="含む",IF(既存時期5="",0,IF(MOD(Y$44-1,既存時期5)=0,既存単価5*既存台数5,0)),IF(既存時期5="",0,IF(MOD(Y$44,既存時期5)=0,既存単価5*既存台数5,0)))</f>
        <v>0</v>
      </c>
      <c r="Z49" s="76"/>
      <c r="AA49" s="76"/>
      <c r="AB49" s="76">
        <f>IF(初年度費用="含む",IF(既存時期5="",0,IF(MOD(AB$44-1,既存時期5)=0,既存単価5*既存台数5,0)),IF(既存時期5="",0,IF(MOD(AB$44,既存時期5)=0,既存単価5*既存台数5,0)))</f>
        <v>0</v>
      </c>
      <c r="AC49" s="76"/>
      <c r="AD49" s="76"/>
      <c r="AE49" s="76">
        <f>IF(初年度費用="含む",IF(既存時期5="",0,IF(MOD(AE$44-1,既存時期5)=0,既存単価5*既存台数5,0)),IF(既存時期5="",0,IF(MOD(AE$44,既存時期5)=0,既存単価5*既存台数5,0)))</f>
        <v>576000</v>
      </c>
      <c r="AF49" s="76"/>
      <c r="AG49" s="76"/>
      <c r="AH49" s="76">
        <f>IF(初年度費用="含む",IF(既存時期5="",0,IF(MOD(AH$44-1,既存時期5)=0,既存単価5*既存台数5,0)),IF(既存時期5="",0,IF(MOD(AH$44,既存時期5)=0,既存単価5*既存台数5,0)))</f>
        <v>0</v>
      </c>
      <c r="AI49" s="76"/>
      <c r="AJ49" s="76"/>
      <c r="AK49" s="76">
        <f>IF(初年度費用="含む",IF(既存時期5="",0,IF(MOD(AK$44-1,既存時期5)=0,既存単価5*既存台数5,0)),IF(既存時期5="",0,IF(MOD(AK$44,既存時期5)=0,既存単価5*既存台数5,0)))</f>
        <v>0</v>
      </c>
      <c r="AL49" s="76"/>
      <c r="AM49" s="76"/>
      <c r="AN49" s="76">
        <f>IF(初年度費用="含む",IF(既存時期5="",0,IF(MOD(AN$44-1,既存時期5)=0,既存単価5*既存台数5,0)),IF(既存時期5="",0,IF(MOD(AN$44,既存時期5)=0,既存単価5*既存台数5,0)))</f>
        <v>0</v>
      </c>
      <c r="AO49" s="76"/>
      <c r="AP49" s="76"/>
      <c r="AQ49" s="76">
        <f>IF(初年度費用="含む",IF(既存時期5="",0,IF(MOD(AQ$44-1,既存時期5)=0,既存単価5*既存台数5,0)),IF(既存時期5="",0,IF(MOD(AQ$44,既存時期5)=0,既存単価5*既存台数5,0)))</f>
        <v>576000</v>
      </c>
      <c r="AR49" s="76"/>
      <c r="AS49" s="76"/>
      <c r="AT49" s="76">
        <f>IF(初年度費用="含む",IF(既存時期5="",0,IF(MOD(AT$44-1,既存時期5)=0,既存単価5*既存台数5,0)),IF(既存時期5="",0,IF(MOD(AT$44,既存時期5)=0,既存単価5*既存台数5,0)))</f>
        <v>0</v>
      </c>
      <c r="AU49" s="76"/>
      <c r="AV49" s="76"/>
      <c r="AW49" s="76">
        <f>IF(初年度費用="含む",IF(既存時期5="",0,IF(MOD(AW$44-1,既存時期5)=0,既存単価5*既存台数5,0)),IF(既存時期5="",0,IF(MOD(AW$44,既存時期5)=0,既存単価5*既存台数5,0)))</f>
        <v>0</v>
      </c>
      <c r="AX49" s="76"/>
      <c r="AY49" s="76"/>
      <c r="AZ49" s="76">
        <f>IF(初年度費用="含む",IF(既存時期5="",0,IF(MOD(AZ$44-1,既存時期5)=0,既存単価5*既存台数5,0)),IF(既存時期5="",0,IF(MOD(AZ$44,既存時期5)=0,既存単価5*既存台数5,0)))</f>
        <v>0</v>
      </c>
      <c r="BA49" s="76"/>
      <c r="BB49" s="76"/>
      <c r="BC49" s="76">
        <f>IF(初年度費用="含む",IF(既存時期5="",0,IF(MOD(BC$44-1,既存時期5)=0,既存単価5*既存台数5,0)),IF(既存時期5="",0,IF(MOD(BC$44,既存時期5)=0,既存単価5*既存台数5,0)))</f>
        <v>576000</v>
      </c>
      <c r="BD49" s="76"/>
      <c r="BE49" s="76"/>
      <c r="BF49" s="76">
        <f>IF(初年度費用="含む",IF(既存時期5="",0,IF(MOD(BF$44-1,既存時期5)=0,既存単価5*既存台数5,0)),IF(既存時期5="",0,IF(MOD(BF$44,既存時期5)=0,既存単価5*既存台数5,0)))</f>
        <v>0</v>
      </c>
      <c r="BG49" s="76"/>
      <c r="BH49" s="76"/>
      <c r="BI49" s="76">
        <f>IF(初年度費用="含む",IF(既存時期5="",0,IF(MOD(BI$44-1,既存時期5)=0,既存単価5*既存台数5,0)),IF(既存時期5="",0,IF(MOD(BI$44,既存時期5)=0,既存単価5*既存台数5,0)))</f>
        <v>0</v>
      </c>
      <c r="BJ49" s="76"/>
      <c r="BK49" s="76"/>
      <c r="BL49" s="76">
        <f>IF(初年度費用="含む",IF(既存時期5="",0,IF(MOD(BL$44-1,既存時期5)=0,既存単価5*既存台数5,0)),IF(既存時期5="",0,IF(MOD(BL$44,既存時期5)=0,既存単価5*既存台数5,0)))</f>
        <v>0</v>
      </c>
      <c r="BM49" s="76"/>
      <c r="BN49" s="76"/>
    </row>
    <row r="50" spans="1:66" s="22" customFormat="1" ht="9" customHeight="1" x14ac:dyDescent="0.15">
      <c r="A50" s="81" t="str">
        <f>IF(既存型式6="","",既存型式6)</f>
        <v>セラメタ300W</v>
      </c>
      <c r="B50" s="81"/>
      <c r="C50" s="81"/>
      <c r="D50" s="81"/>
      <c r="E50" s="81"/>
      <c r="F50" s="81"/>
      <c r="G50" s="76">
        <f>IF(初年度費用="含む",IF(既存単価6="","",既存単価6*既存台数6),0)</f>
        <v>432000</v>
      </c>
      <c r="H50" s="76"/>
      <c r="I50" s="76"/>
      <c r="J50" s="76">
        <f>IF(初年度費用="含む",IF(既存時期6="",0,IF(MOD(J$44-1,既存時期6)=0,既存単価6*既存台数6,0)),IF(既存時期6="",0,IF(MOD(J$44,既存時期6)=0,既存単価6*既存台数6,0)))</f>
        <v>0</v>
      </c>
      <c r="K50" s="76"/>
      <c r="L50" s="76"/>
      <c r="M50" s="76">
        <f>IF(初年度費用="含む",IF(既存時期6="",0,IF(MOD(M$44-1,既存時期6)=0,既存単価6*既存台数6,0)),IF(既存時期6="",0,IF(MOD(M$44,既存時期6)=0,既存単価6*既存台数6,0)))</f>
        <v>0</v>
      </c>
      <c r="N50" s="76"/>
      <c r="O50" s="76"/>
      <c r="P50" s="76">
        <f>IF(初年度費用="含む",IF(既存時期6="",0,IF(MOD(P$44-1,既存時期6)=0,既存単価6*既存台数6,0)),IF(既存時期6="",0,IF(MOD(P$44,既存時期6)=0,既存単価6*既存台数6,0)))</f>
        <v>0</v>
      </c>
      <c r="Q50" s="76"/>
      <c r="R50" s="76"/>
      <c r="S50" s="76">
        <f>IF(初年度費用="含む",IF(既存時期6="",0,IF(MOD(S$44-1,既存時期6)=0,既存単価6*既存台数6,0)),IF(既存時期6="",0,IF(MOD(S$44,既存時期6)=0,既存単価6*既存台数6,0)))</f>
        <v>432000</v>
      </c>
      <c r="T50" s="76"/>
      <c r="U50" s="76"/>
      <c r="V50" s="76">
        <f>IF(初年度費用="含む",IF(既存時期6="",0,IF(MOD(V$44-1,既存時期6)=0,既存単価6*既存台数6,0)),IF(既存時期6="",0,IF(MOD(V$44,既存時期6)=0,既存単価6*既存台数6,0)))</f>
        <v>0</v>
      </c>
      <c r="W50" s="76"/>
      <c r="X50" s="76"/>
      <c r="Y50" s="76">
        <f>IF(初年度費用="含む",IF(既存時期6="",0,IF(MOD(Y$44-1,既存時期6)=0,既存単価6*既存台数6,0)),IF(既存時期6="",0,IF(MOD(Y$44,既存時期6)=0,既存単価6*既存台数6,0)))</f>
        <v>0</v>
      </c>
      <c r="Z50" s="76"/>
      <c r="AA50" s="76"/>
      <c r="AB50" s="76">
        <f>IF(初年度費用="含む",IF(既存時期6="",0,IF(MOD(AB$44-1,既存時期6)=0,既存単価6*既存台数6,0)),IF(既存時期6="",0,IF(MOD(AB$44,既存時期6)=0,既存単価6*既存台数6,0)))</f>
        <v>0</v>
      </c>
      <c r="AC50" s="76"/>
      <c r="AD50" s="76"/>
      <c r="AE50" s="76">
        <f>IF(初年度費用="含む",IF(既存時期6="",0,IF(MOD(AE$44-1,既存時期6)=0,既存単価6*既存台数6,0)),IF(既存時期6="",0,IF(MOD(AE$44,既存時期6)=0,既存単価6*既存台数6,0)))</f>
        <v>432000</v>
      </c>
      <c r="AF50" s="76"/>
      <c r="AG50" s="76"/>
      <c r="AH50" s="76">
        <f>IF(初年度費用="含む",IF(既存時期6="",0,IF(MOD(AH$44-1,既存時期6)=0,既存単価6*既存台数6,0)),IF(既存時期6="",0,IF(MOD(AH$44,既存時期6)=0,既存単価6*既存台数6,0)))</f>
        <v>0</v>
      </c>
      <c r="AI50" s="76"/>
      <c r="AJ50" s="76"/>
      <c r="AK50" s="76">
        <f>IF(初年度費用="含む",IF(既存時期6="",0,IF(MOD(AK$44-1,既存時期6)=0,既存単価6*既存台数6,0)),IF(既存時期6="",0,IF(MOD(AK$44,既存時期6)=0,既存単価6*既存台数6,0)))</f>
        <v>0</v>
      </c>
      <c r="AL50" s="76"/>
      <c r="AM50" s="76"/>
      <c r="AN50" s="76">
        <f>IF(初年度費用="含む",IF(既存時期6="",0,IF(MOD(AN$44-1,既存時期6)=0,既存単価6*既存台数6,0)),IF(既存時期6="",0,IF(MOD(AN$44,既存時期6)=0,既存単価6*既存台数6,0)))</f>
        <v>0</v>
      </c>
      <c r="AO50" s="76"/>
      <c r="AP50" s="76"/>
      <c r="AQ50" s="76">
        <f>IF(初年度費用="含む",IF(既存時期6="",0,IF(MOD(AQ$44-1,既存時期6)=0,既存単価6*既存台数6,0)),IF(既存時期6="",0,IF(MOD(AQ$44,既存時期6)=0,既存単価6*既存台数6,0)))</f>
        <v>432000</v>
      </c>
      <c r="AR50" s="76"/>
      <c r="AS50" s="76"/>
      <c r="AT50" s="76">
        <f>IF(初年度費用="含む",IF(既存時期6="",0,IF(MOD(AT$44-1,既存時期6)=0,既存単価6*既存台数6,0)),IF(既存時期6="",0,IF(MOD(AT$44,既存時期6)=0,既存単価6*既存台数6,0)))</f>
        <v>0</v>
      </c>
      <c r="AU50" s="76"/>
      <c r="AV50" s="76"/>
      <c r="AW50" s="76">
        <f>IF(初年度費用="含む",IF(既存時期6="",0,IF(MOD(AW$44-1,既存時期6)=0,既存単価6*既存台数6,0)),IF(既存時期6="",0,IF(MOD(AW$44,既存時期6)=0,既存単価6*既存台数6,0)))</f>
        <v>0</v>
      </c>
      <c r="AX50" s="76"/>
      <c r="AY50" s="76"/>
      <c r="AZ50" s="76">
        <f>IF(初年度費用="含む",IF(既存時期6="",0,IF(MOD(AZ$44-1,既存時期6)=0,既存単価6*既存台数6,0)),IF(既存時期6="",0,IF(MOD(AZ$44,既存時期6)=0,既存単価6*既存台数6,0)))</f>
        <v>0</v>
      </c>
      <c r="BA50" s="76"/>
      <c r="BB50" s="76"/>
      <c r="BC50" s="76">
        <f>IF(初年度費用="含む",IF(既存時期6="",0,IF(MOD(BC$44-1,既存時期6)=0,既存単価6*既存台数6,0)),IF(既存時期6="",0,IF(MOD(BC$44,既存時期6)=0,既存単価6*既存台数6,0)))</f>
        <v>432000</v>
      </c>
      <c r="BD50" s="76"/>
      <c r="BE50" s="76"/>
      <c r="BF50" s="76">
        <f>IF(初年度費用="含む",IF(既存時期6="",0,IF(MOD(BF$44-1,既存時期6)=0,既存単価6*既存台数6,0)),IF(既存時期6="",0,IF(MOD(BF$44,既存時期6)=0,既存単価6*既存台数6,0)))</f>
        <v>0</v>
      </c>
      <c r="BG50" s="76"/>
      <c r="BH50" s="76"/>
      <c r="BI50" s="76">
        <f>IF(初年度費用="含む",IF(既存時期6="",0,IF(MOD(BI$44-1,既存時期6)=0,既存単価6*既存台数6,0)),IF(既存時期6="",0,IF(MOD(BI$44,既存時期6)=0,既存単価6*既存台数6,0)))</f>
        <v>0</v>
      </c>
      <c r="BJ50" s="76"/>
      <c r="BK50" s="76"/>
      <c r="BL50" s="76">
        <f>IF(初年度費用="含む",IF(既存時期6="",0,IF(MOD(BL$44-1,既存時期6)=0,既存単価6*既存台数6,0)),IF(既存時期6="",0,IF(MOD(BL$44,既存時期6)=0,既存単価6*既存台数6,0)))</f>
        <v>0</v>
      </c>
      <c r="BM50" s="76"/>
      <c r="BN50" s="76"/>
    </row>
    <row r="51" spans="1:66" s="22" customFormat="1" ht="9" customHeight="1" x14ac:dyDescent="0.15">
      <c r="A51" s="81" t="s">
        <v>12</v>
      </c>
      <c r="B51" s="81"/>
      <c r="C51" s="81"/>
      <c r="D51" s="81"/>
      <c r="E51" s="81"/>
      <c r="F51" s="81"/>
      <c r="G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H51" s="76"/>
      <c r="I51" s="76"/>
      <c r="J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K51" s="76"/>
      <c r="L51" s="76"/>
      <c r="M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N51" s="76"/>
      <c r="O51" s="76"/>
      <c r="P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Q51" s="76"/>
      <c r="R51" s="76"/>
      <c r="S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T51" s="76"/>
      <c r="U51" s="76"/>
      <c r="V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W51" s="76"/>
      <c r="X51" s="76"/>
      <c r="Y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Z51" s="76"/>
      <c r="AA51" s="76"/>
      <c r="AB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C51" s="76"/>
      <c r="AD51" s="76"/>
      <c r="AE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F51" s="76"/>
      <c r="AG51" s="76"/>
      <c r="AH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I51" s="76"/>
      <c r="AJ51" s="76"/>
      <c r="AK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L51" s="76"/>
      <c r="AM51" s="76"/>
      <c r="AN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O51" s="76"/>
      <c r="AP51" s="76"/>
      <c r="AQ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R51" s="76"/>
      <c r="AS51" s="76"/>
      <c r="AT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U51" s="76"/>
      <c r="AV51" s="76"/>
      <c r="AW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AX51" s="76"/>
      <c r="AY51" s="76"/>
      <c r="AZ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BA51" s="76"/>
      <c r="BB51" s="76"/>
      <c r="BC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BD51" s="76"/>
      <c r="BE51" s="76"/>
      <c r="BF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BG51" s="76"/>
      <c r="BH51" s="76"/>
      <c r="BI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BJ51" s="76"/>
      <c r="BK51" s="76"/>
      <c r="BL51" s="76">
        <f>(既存電力1*既存台数1*既存点灯時間1+既存電力2*既存台数2*既存点灯時間2+既存電力3*既存台数3*既存点灯時間3+既存電力4*既存台数4*既存点灯時間4+LED電力5*LED台数5*LED点灯時間5+LED電力6*LED台数6*LED点灯時間6)/1000*点灯日数*電力単価</f>
        <v>7191587.7000000002</v>
      </c>
      <c r="BM51" s="76"/>
      <c r="BN51" s="76"/>
    </row>
    <row r="52" spans="1:66" s="22" customFormat="1" ht="9" customHeight="1" thickBot="1" x14ac:dyDescent="0.2">
      <c r="A52" s="83" t="s">
        <v>13</v>
      </c>
      <c r="B52" s="83"/>
      <c r="C52" s="83"/>
      <c r="D52" s="83"/>
      <c r="E52" s="83"/>
      <c r="F52" s="83"/>
      <c r="G52" s="79">
        <f>SUM(G45:I51)</f>
        <v>11583587.699999999</v>
      </c>
      <c r="H52" s="79"/>
      <c r="I52" s="79"/>
      <c r="J52" s="79">
        <f>G52+SUM(J45:L51)</f>
        <v>18775175.399999999</v>
      </c>
      <c r="K52" s="79"/>
      <c r="L52" s="79"/>
      <c r="M52" s="79">
        <f>J52+SUM(M45:O51)</f>
        <v>25966763.099999998</v>
      </c>
      <c r="N52" s="79"/>
      <c r="O52" s="79"/>
      <c r="P52" s="79">
        <f>M52+SUM(P45:R51)</f>
        <v>33158350.799999997</v>
      </c>
      <c r="Q52" s="79"/>
      <c r="R52" s="79"/>
      <c r="S52" s="79">
        <f>P52+SUM(S45:U51)</f>
        <v>44741938.5</v>
      </c>
      <c r="T52" s="79"/>
      <c r="U52" s="79"/>
      <c r="V52" s="79">
        <f>S52+SUM(V45:X51)</f>
        <v>51933526.200000003</v>
      </c>
      <c r="W52" s="79"/>
      <c r="X52" s="79"/>
      <c r="Y52" s="79">
        <f>V52+SUM(Y45:AA51)</f>
        <v>59125113.900000006</v>
      </c>
      <c r="Z52" s="79"/>
      <c r="AA52" s="79"/>
      <c r="AB52" s="79">
        <f>Y52+SUM(AB45:AD51)</f>
        <v>66316701.600000009</v>
      </c>
      <c r="AC52" s="79"/>
      <c r="AD52" s="79"/>
      <c r="AE52" s="79">
        <f>AB52+SUM(AE45:AG51)</f>
        <v>77900289.300000012</v>
      </c>
      <c r="AF52" s="79"/>
      <c r="AG52" s="79"/>
      <c r="AH52" s="79">
        <f>AE52+SUM(AH45:AJ51)</f>
        <v>85091877.000000015</v>
      </c>
      <c r="AI52" s="79"/>
      <c r="AJ52" s="79"/>
      <c r="AK52" s="79">
        <f>AH52+SUM(AK45:AM51)</f>
        <v>92283464.700000018</v>
      </c>
      <c r="AL52" s="79"/>
      <c r="AM52" s="79"/>
      <c r="AN52" s="79">
        <f>AK52+SUM(AN45:AP51)</f>
        <v>99475052.400000021</v>
      </c>
      <c r="AO52" s="79"/>
      <c r="AP52" s="79"/>
      <c r="AQ52" s="79">
        <f>AN52+SUM(AQ45:AS51)</f>
        <v>111058640.10000002</v>
      </c>
      <c r="AR52" s="79"/>
      <c r="AS52" s="79"/>
      <c r="AT52" s="79">
        <f>AQ52+SUM(AT45:AV51)</f>
        <v>118250227.80000003</v>
      </c>
      <c r="AU52" s="79"/>
      <c r="AV52" s="79"/>
      <c r="AW52" s="79">
        <f>AT52+SUM(AW45:AY51)</f>
        <v>125441815.50000003</v>
      </c>
      <c r="AX52" s="79"/>
      <c r="AY52" s="79"/>
      <c r="AZ52" s="79">
        <f>AW52+SUM(AZ45:BB51)</f>
        <v>132633403.20000003</v>
      </c>
      <c r="BA52" s="79"/>
      <c r="BB52" s="79"/>
      <c r="BC52" s="79">
        <f>AZ52+SUM(BC45:BE51)</f>
        <v>144216990.90000004</v>
      </c>
      <c r="BD52" s="79"/>
      <c r="BE52" s="79"/>
      <c r="BF52" s="79">
        <f>BC52+SUM(BF45:BH51)</f>
        <v>151408578.60000002</v>
      </c>
      <c r="BG52" s="79"/>
      <c r="BH52" s="79"/>
      <c r="BI52" s="79">
        <f>BF52+SUM(BI45:BK51)</f>
        <v>158600166.30000001</v>
      </c>
      <c r="BJ52" s="79"/>
      <c r="BK52" s="79"/>
      <c r="BL52" s="79">
        <f>BI52+SUM(BL45:BN51)</f>
        <v>165791754</v>
      </c>
      <c r="BM52" s="79"/>
      <c r="BN52" s="79"/>
    </row>
    <row r="53" spans="1:66" s="22" customFormat="1" ht="9" customHeight="1" thickTop="1" x14ac:dyDescent="0.15">
      <c r="A53" s="84" t="str">
        <f>IF(LED型式1="","",LED型式1)</f>
        <v>エースディスク300W</v>
      </c>
      <c r="B53" s="84"/>
      <c r="C53" s="84"/>
      <c r="D53" s="84"/>
      <c r="E53" s="84"/>
      <c r="F53" s="84"/>
      <c r="G53" s="76">
        <f>IF(LED単価1="","",LED単価1*LED台数1)</f>
        <v>2457000</v>
      </c>
      <c r="H53" s="76"/>
      <c r="I53" s="76"/>
      <c r="J53" s="78">
        <f>IF(LED時期1="",0,IF(MOD(J$44-1,LED時期1)=0,LED単価1*LED台数1,0))</f>
        <v>0</v>
      </c>
      <c r="K53" s="78"/>
      <c r="L53" s="78"/>
      <c r="M53" s="78">
        <f>IF(LED時期1="",0,IF(MOD(M$44-1,LED時期1)=0,LED単価1*LED台数1,0))</f>
        <v>0</v>
      </c>
      <c r="N53" s="78"/>
      <c r="O53" s="78"/>
      <c r="P53" s="78">
        <f>IF(LED時期1="",0,IF(MOD(P$44-1,LED時期1)=0,LED単価1*LED台数1,0))</f>
        <v>0</v>
      </c>
      <c r="Q53" s="78"/>
      <c r="R53" s="78"/>
      <c r="S53" s="78">
        <f>IF(LED時期1="",0,IF(MOD(S$44-1,LED時期1)=0,LED単価1*LED台数1,0))</f>
        <v>0</v>
      </c>
      <c r="T53" s="78"/>
      <c r="U53" s="78"/>
      <c r="V53" s="78">
        <f>IF(LED時期1="",0,IF(MOD(V$44-1,LED時期1)=0,LED単価1*LED台数1,0))</f>
        <v>0</v>
      </c>
      <c r="W53" s="78"/>
      <c r="X53" s="78"/>
      <c r="Y53" s="78">
        <f>IF(LED時期1="",0,IF(MOD(Y$44-1,LED時期1)=0,LED単価1*LED台数1,0))</f>
        <v>0</v>
      </c>
      <c r="Z53" s="78"/>
      <c r="AA53" s="78"/>
      <c r="AB53" s="78">
        <f>IF(LED時期1="",0,IF(MOD(AB$44-1,LED時期1)=0,LED単価1*LED台数1,0))</f>
        <v>0</v>
      </c>
      <c r="AC53" s="78"/>
      <c r="AD53" s="78"/>
      <c r="AE53" s="78">
        <f>IF(LED時期1="",0,IF(MOD(AE$44-1,LED時期1)=0,LED単価1*LED台数1,0))</f>
        <v>0</v>
      </c>
      <c r="AF53" s="78"/>
      <c r="AG53" s="78"/>
      <c r="AH53" s="78">
        <f>IF(LED時期1="",0,IF(MOD(AH$44-1,LED時期1)=0,LED単価1*LED台数1,0))</f>
        <v>0</v>
      </c>
      <c r="AI53" s="78"/>
      <c r="AJ53" s="78"/>
      <c r="AK53" s="78">
        <f>IF(LED時期1="",0,IF(MOD(AK$44-1,LED時期1)=0,LED単価1*LED台数1,0))</f>
        <v>0</v>
      </c>
      <c r="AL53" s="78"/>
      <c r="AM53" s="78"/>
      <c r="AN53" s="78">
        <f>IF(LED時期1="",0,IF(MOD(AN$44-1,LED時期1)=0,LED単価1*LED台数1,0))</f>
        <v>0</v>
      </c>
      <c r="AO53" s="78"/>
      <c r="AP53" s="78"/>
      <c r="AQ53" s="78">
        <f>IF(LED時期1="",0,IF(MOD(AQ$44-1,LED時期1)=0,LED単価1*LED台数1,0))</f>
        <v>0</v>
      </c>
      <c r="AR53" s="78"/>
      <c r="AS53" s="78"/>
      <c r="AT53" s="78">
        <f>IF(LED時期1="",0,IF(MOD(AT$44-1,LED時期1)=0,LED単価1*LED台数1,0))</f>
        <v>0</v>
      </c>
      <c r="AU53" s="78"/>
      <c r="AV53" s="78"/>
      <c r="AW53" s="78">
        <f>IF(LED時期1="",0,IF(MOD(AW$44-1,LED時期1)=0,LED単価1*LED台数1,0))</f>
        <v>2457000</v>
      </c>
      <c r="AX53" s="78"/>
      <c r="AY53" s="78"/>
      <c r="AZ53" s="78">
        <f>IF(LED時期1="",0,IF(MOD(AZ$44-1,LED時期1)=0,LED単価1*LED台数1,0))</f>
        <v>0</v>
      </c>
      <c r="BA53" s="78"/>
      <c r="BB53" s="78"/>
      <c r="BC53" s="78">
        <f>IF(LED時期1="",0,IF(MOD(BC$44-1,LED時期1)=0,LED単価1*LED台数1,0))</f>
        <v>0</v>
      </c>
      <c r="BD53" s="78"/>
      <c r="BE53" s="78"/>
      <c r="BF53" s="78">
        <f>IF(LED時期1="",0,IF(MOD(BF$44-1,LED時期1)=0,LED単価1*LED台数1,0))</f>
        <v>0</v>
      </c>
      <c r="BG53" s="78"/>
      <c r="BH53" s="78"/>
      <c r="BI53" s="78">
        <f>IF(LED時期1="",0,IF(MOD(BI$44-1,LED時期1)=0,LED単価1*LED台数1,0))</f>
        <v>0</v>
      </c>
      <c r="BJ53" s="78"/>
      <c r="BK53" s="78"/>
      <c r="BL53" s="78">
        <f>IF(LED時期1="",0,IF(MOD(BL$44-1,LED時期1)=0,LED単価1*LED台数1,0))</f>
        <v>0</v>
      </c>
      <c r="BM53" s="78"/>
      <c r="BN53" s="78"/>
    </row>
    <row r="54" spans="1:66" s="22" customFormat="1" ht="9" customHeight="1" x14ac:dyDescent="0.15">
      <c r="A54" s="81" t="str">
        <f>IF(LED型式2="","",LED型式2)</f>
        <v>エースディスク200W</v>
      </c>
      <c r="B54" s="81"/>
      <c r="C54" s="81"/>
      <c r="D54" s="81"/>
      <c r="E54" s="81"/>
      <c r="F54" s="81"/>
      <c r="G54" s="76">
        <f>IF(LED単価2="","",LED単価2*LED台数2)</f>
        <v>1890000</v>
      </c>
      <c r="H54" s="76"/>
      <c r="I54" s="76"/>
      <c r="J54" s="78">
        <f>IF(LED時期2="",0,IF(MOD(J$44-1,LED時期2)=0,LED単価2*LED台数2,0))</f>
        <v>0</v>
      </c>
      <c r="K54" s="78"/>
      <c r="L54" s="78"/>
      <c r="M54" s="78">
        <f>IF(LED時期2="",0,IF(MOD(M$44-1,LED時期2)=0,LED単価2*LED台数2,0))</f>
        <v>0</v>
      </c>
      <c r="N54" s="78"/>
      <c r="O54" s="78"/>
      <c r="P54" s="78">
        <f>IF(LED時期2="",0,IF(MOD(P$44-1,LED時期2)=0,LED単価2*LED台数2,0))</f>
        <v>0</v>
      </c>
      <c r="Q54" s="78"/>
      <c r="R54" s="78"/>
      <c r="S54" s="78">
        <f>IF(LED時期2="",0,IF(MOD(S$44-1,LED時期2)=0,LED単価2*LED台数2,0))</f>
        <v>0</v>
      </c>
      <c r="T54" s="78"/>
      <c r="U54" s="78"/>
      <c r="V54" s="78">
        <f>IF(LED時期2="",0,IF(MOD(V$44-1,LED時期2)=0,LED単価2*LED台数2,0))</f>
        <v>0</v>
      </c>
      <c r="W54" s="78"/>
      <c r="X54" s="78"/>
      <c r="Y54" s="78">
        <f>IF(LED時期2="",0,IF(MOD(Y$44-1,LED時期2)=0,LED単価2*LED台数2,0))</f>
        <v>0</v>
      </c>
      <c r="Z54" s="78"/>
      <c r="AA54" s="78"/>
      <c r="AB54" s="78">
        <f>IF(LED時期2="",0,IF(MOD(AB$44-1,LED時期2)=0,LED単価2*LED台数2,0))</f>
        <v>0</v>
      </c>
      <c r="AC54" s="78"/>
      <c r="AD54" s="78"/>
      <c r="AE54" s="78">
        <f>IF(LED時期2="",0,IF(MOD(AE$44-1,LED時期2)=0,LED単価2*LED台数2,0))</f>
        <v>0</v>
      </c>
      <c r="AF54" s="78"/>
      <c r="AG54" s="78"/>
      <c r="AH54" s="78">
        <f>IF(LED時期2="",0,IF(MOD(AH$44-1,LED時期2)=0,LED単価2*LED台数2,0))</f>
        <v>0</v>
      </c>
      <c r="AI54" s="78"/>
      <c r="AJ54" s="78"/>
      <c r="AK54" s="78">
        <f>IF(LED時期2="",0,IF(MOD(AK$44-1,LED時期2)=0,LED単価2*LED台数2,0))</f>
        <v>0</v>
      </c>
      <c r="AL54" s="78"/>
      <c r="AM54" s="78"/>
      <c r="AN54" s="78">
        <f>IF(LED時期2="",0,IF(MOD(AN$44-1,LED時期2)=0,LED単価2*LED台数2,0))</f>
        <v>0</v>
      </c>
      <c r="AO54" s="78"/>
      <c r="AP54" s="78"/>
      <c r="AQ54" s="78">
        <f>IF(LED時期2="",0,IF(MOD(AQ$44-1,LED時期2)=0,LED単価2*LED台数2,0))</f>
        <v>0</v>
      </c>
      <c r="AR54" s="78"/>
      <c r="AS54" s="78"/>
      <c r="AT54" s="78">
        <f>IF(LED時期2="",0,IF(MOD(AT$44-1,LED時期2)=0,LED単価2*LED台数2,0))</f>
        <v>0</v>
      </c>
      <c r="AU54" s="78"/>
      <c r="AV54" s="78"/>
      <c r="AW54" s="78">
        <f>IF(LED時期2="",0,IF(MOD(AW$44-1,LED時期2)=0,LED単価2*LED台数2,0))</f>
        <v>1890000</v>
      </c>
      <c r="AX54" s="78"/>
      <c r="AY54" s="78"/>
      <c r="AZ54" s="78">
        <f>IF(LED時期2="",0,IF(MOD(AZ$44-1,LED時期2)=0,LED単価2*LED台数2,0))</f>
        <v>0</v>
      </c>
      <c r="BA54" s="78"/>
      <c r="BB54" s="78"/>
      <c r="BC54" s="78">
        <f>IF(LED時期2="",0,IF(MOD(BC$44-1,LED時期2)=0,LED単価2*LED台数2,0))</f>
        <v>0</v>
      </c>
      <c r="BD54" s="78"/>
      <c r="BE54" s="78"/>
      <c r="BF54" s="78">
        <f>IF(LED時期2="",0,IF(MOD(BF$44-1,LED時期2)=0,LED単価2*LED台数2,0))</f>
        <v>0</v>
      </c>
      <c r="BG54" s="78"/>
      <c r="BH54" s="78"/>
      <c r="BI54" s="78">
        <f>IF(LED時期2="",0,IF(MOD(BI$44-1,LED時期2)=0,LED単価2*LED台数2,0))</f>
        <v>0</v>
      </c>
      <c r="BJ54" s="78"/>
      <c r="BK54" s="78"/>
      <c r="BL54" s="78">
        <f>IF(LED時期2="",0,IF(MOD(BL$44-1,LED時期2)=0,LED単価2*LED台数2,0))</f>
        <v>0</v>
      </c>
      <c r="BM54" s="78"/>
      <c r="BN54" s="78"/>
    </row>
    <row r="55" spans="1:66" s="22" customFormat="1" ht="9" customHeight="1" x14ac:dyDescent="0.15">
      <c r="A55" s="81" t="str">
        <f>IF(LED型式3="","",LED型式3)</f>
        <v>エースディスク500W</v>
      </c>
      <c r="B55" s="81"/>
      <c r="C55" s="81"/>
      <c r="D55" s="81"/>
      <c r="E55" s="81"/>
      <c r="F55" s="81"/>
      <c r="G55" s="76">
        <f>IF(LED単価3="","",LED単価3*LED台数3)</f>
        <v>2047500</v>
      </c>
      <c r="H55" s="76"/>
      <c r="I55" s="76"/>
      <c r="J55" s="78">
        <f>IF(LED時期3="",0,IF(MOD(J$44-1,LED時期3)=0,LED単価3*LED台数3,0))</f>
        <v>0</v>
      </c>
      <c r="K55" s="78"/>
      <c r="L55" s="78"/>
      <c r="M55" s="78">
        <f>IF(LED時期3="",0,IF(MOD(M$44-1,LED時期3)=0,LED単価3*LED台数3,0))</f>
        <v>0</v>
      </c>
      <c r="N55" s="78"/>
      <c r="O55" s="78"/>
      <c r="P55" s="78">
        <f>IF(LED時期3="",0,IF(MOD(P$44-1,LED時期3)=0,LED単価3*LED台数3,0))</f>
        <v>0</v>
      </c>
      <c r="Q55" s="78"/>
      <c r="R55" s="78"/>
      <c r="S55" s="78">
        <f>IF(LED時期3="",0,IF(MOD(S$44-1,LED時期3)=0,LED単価3*LED台数3,0))</f>
        <v>0</v>
      </c>
      <c r="T55" s="78"/>
      <c r="U55" s="78"/>
      <c r="V55" s="78">
        <f>IF(LED時期3="",0,IF(MOD(V$44-1,LED時期3)=0,LED単価3*LED台数3,0))</f>
        <v>0</v>
      </c>
      <c r="W55" s="78"/>
      <c r="X55" s="78"/>
      <c r="Y55" s="78">
        <f>IF(LED時期3="",0,IF(MOD(Y$44-1,LED時期3)=0,LED単価3*LED台数3,0))</f>
        <v>0</v>
      </c>
      <c r="Z55" s="78"/>
      <c r="AA55" s="78"/>
      <c r="AB55" s="78">
        <f>IF(LED時期3="",0,IF(MOD(AB$44-1,LED時期3)=0,LED単価3*LED台数3,0))</f>
        <v>0</v>
      </c>
      <c r="AC55" s="78"/>
      <c r="AD55" s="78"/>
      <c r="AE55" s="78">
        <f>IF(LED時期3="",0,IF(MOD(AE$44-1,LED時期3)=0,LED単価3*LED台数3,0))</f>
        <v>0</v>
      </c>
      <c r="AF55" s="78"/>
      <c r="AG55" s="78"/>
      <c r="AH55" s="78">
        <f>IF(LED時期3="",0,IF(MOD(AH$44-1,LED時期3)=0,LED単価3*LED台数3,0))</f>
        <v>0</v>
      </c>
      <c r="AI55" s="78"/>
      <c r="AJ55" s="78"/>
      <c r="AK55" s="78">
        <f>IF(LED時期3="",0,IF(MOD(AK$44-1,LED時期3)=0,LED単価3*LED台数3,0))</f>
        <v>0</v>
      </c>
      <c r="AL55" s="78"/>
      <c r="AM55" s="78"/>
      <c r="AN55" s="78">
        <f>IF(LED時期3="",0,IF(MOD(AN$44-1,LED時期3)=0,LED単価3*LED台数3,0))</f>
        <v>0</v>
      </c>
      <c r="AO55" s="78"/>
      <c r="AP55" s="78"/>
      <c r="AQ55" s="78">
        <f>IF(LED時期3="",0,IF(MOD(AQ$44-1,LED時期3)=0,LED単価3*LED台数3,0))</f>
        <v>0</v>
      </c>
      <c r="AR55" s="78"/>
      <c r="AS55" s="78"/>
      <c r="AT55" s="78">
        <f>IF(LED時期3="",0,IF(MOD(AT$44-1,LED時期3)=0,LED単価3*LED台数3,0))</f>
        <v>0</v>
      </c>
      <c r="AU55" s="78"/>
      <c r="AV55" s="78"/>
      <c r="AW55" s="78">
        <f>IF(LED時期3="",0,IF(MOD(AW$44-1,LED時期3)=0,LED単価3*LED台数3,0))</f>
        <v>2047500</v>
      </c>
      <c r="AX55" s="78"/>
      <c r="AY55" s="78"/>
      <c r="AZ55" s="78">
        <f>IF(LED時期3="",0,IF(MOD(AZ$44-1,LED時期3)=0,LED単価3*LED台数3,0))</f>
        <v>0</v>
      </c>
      <c r="BA55" s="78"/>
      <c r="BB55" s="78"/>
      <c r="BC55" s="78">
        <f>IF(LED時期3="",0,IF(MOD(BC$44-1,LED時期3)=0,LED単価3*LED台数3,0))</f>
        <v>0</v>
      </c>
      <c r="BD55" s="78"/>
      <c r="BE55" s="78"/>
      <c r="BF55" s="78">
        <f>IF(LED時期3="",0,IF(MOD(BF$44-1,LED時期3)=0,LED単価3*LED台数3,0))</f>
        <v>0</v>
      </c>
      <c r="BG55" s="78"/>
      <c r="BH55" s="78"/>
      <c r="BI55" s="78">
        <f>IF(LED時期3="",0,IF(MOD(BI$44-1,LED時期3)=0,LED単価3*LED台数3,0))</f>
        <v>0</v>
      </c>
      <c r="BJ55" s="78"/>
      <c r="BK55" s="78"/>
      <c r="BL55" s="78">
        <f>IF(LED時期3="",0,IF(MOD(BL$44-1,LED時期3)=0,LED単価3*LED台数3,0))</f>
        <v>0</v>
      </c>
      <c r="BM55" s="78"/>
      <c r="BN55" s="78"/>
    </row>
    <row r="56" spans="1:66" s="22" customFormat="1" ht="9" customHeight="1" x14ac:dyDescent="0.15">
      <c r="A56" s="81" t="str">
        <f>IF(LED型式4="","",LED型式4)</f>
        <v>ハイディスク140W</v>
      </c>
      <c r="B56" s="81"/>
      <c r="C56" s="81"/>
      <c r="D56" s="81"/>
      <c r="E56" s="81"/>
      <c r="F56" s="81"/>
      <c r="G56" s="76">
        <f>IF(LED単価4="","",LED単価4*LED台数4)</f>
        <v>1260000</v>
      </c>
      <c r="H56" s="76"/>
      <c r="I56" s="76"/>
      <c r="J56" s="78">
        <f>IF(LED時期4="",0,IF(MOD(J$44-1,LED時期4)=0,LED単価4*LED台数4,0))</f>
        <v>0</v>
      </c>
      <c r="K56" s="78"/>
      <c r="L56" s="78"/>
      <c r="M56" s="78">
        <f>IF(LED時期4="",0,IF(MOD(M$44-1,LED時期4)=0,LED単価4*LED台数4,0))</f>
        <v>0</v>
      </c>
      <c r="N56" s="78"/>
      <c r="O56" s="78"/>
      <c r="P56" s="78">
        <f>IF(LED時期4="",0,IF(MOD(P$44-1,LED時期4)=0,LED単価4*LED台数4,0))</f>
        <v>0</v>
      </c>
      <c r="Q56" s="78"/>
      <c r="R56" s="78"/>
      <c r="S56" s="78">
        <f>IF(LED時期4="",0,IF(MOD(S$44-1,LED時期4)=0,LED単価4*LED台数4,0))</f>
        <v>0</v>
      </c>
      <c r="T56" s="78"/>
      <c r="U56" s="78"/>
      <c r="V56" s="78">
        <f>IF(LED時期4="",0,IF(MOD(V$44-1,LED時期4)=0,LED単価4*LED台数4,0))</f>
        <v>0</v>
      </c>
      <c r="W56" s="78"/>
      <c r="X56" s="78"/>
      <c r="Y56" s="78">
        <f>IF(LED時期4="",0,IF(MOD(Y$44-1,LED時期4)=0,LED単価4*LED台数4,0))</f>
        <v>0</v>
      </c>
      <c r="Z56" s="78"/>
      <c r="AA56" s="78"/>
      <c r="AB56" s="78">
        <f>IF(LED時期4="",0,IF(MOD(AB$44-1,LED時期4)=0,LED単価4*LED台数4,0))</f>
        <v>0</v>
      </c>
      <c r="AC56" s="78"/>
      <c r="AD56" s="78"/>
      <c r="AE56" s="78">
        <f>IF(LED時期4="",0,IF(MOD(AE$44-1,LED時期4)=0,LED単価4*LED台数4,0))</f>
        <v>0</v>
      </c>
      <c r="AF56" s="78"/>
      <c r="AG56" s="78"/>
      <c r="AH56" s="78">
        <f>IF(LED時期4="",0,IF(MOD(AH$44-1,LED時期4)=0,LED単価4*LED台数4,0))</f>
        <v>0</v>
      </c>
      <c r="AI56" s="78"/>
      <c r="AJ56" s="78"/>
      <c r="AK56" s="78">
        <f>IF(LED時期4="",0,IF(MOD(AK$44-1,LED時期4)=0,LED単価4*LED台数4,0))</f>
        <v>0</v>
      </c>
      <c r="AL56" s="78"/>
      <c r="AM56" s="78"/>
      <c r="AN56" s="78">
        <f>IF(LED時期4="",0,IF(MOD(AN$44-1,LED時期4)=0,LED単価4*LED台数4,0))</f>
        <v>0</v>
      </c>
      <c r="AO56" s="78"/>
      <c r="AP56" s="78"/>
      <c r="AQ56" s="78">
        <f>IF(LED時期4="",0,IF(MOD(AQ$44-1,LED時期4)=0,LED単価4*LED台数4,0))</f>
        <v>0</v>
      </c>
      <c r="AR56" s="78"/>
      <c r="AS56" s="78"/>
      <c r="AT56" s="78">
        <f>IF(LED時期4="",0,IF(MOD(AT$44-1,LED時期4)=0,LED単価4*LED台数4,0))</f>
        <v>0</v>
      </c>
      <c r="AU56" s="78"/>
      <c r="AV56" s="78"/>
      <c r="AW56" s="78">
        <f>IF(LED時期4="",0,IF(MOD(AW$44-1,LED時期4)=0,LED単価4*LED台数4,0))</f>
        <v>1260000</v>
      </c>
      <c r="AX56" s="78"/>
      <c r="AY56" s="78"/>
      <c r="AZ56" s="78">
        <f>IF(LED時期4="",0,IF(MOD(AZ$44-1,LED時期4)=0,LED単価4*LED台数4,0))</f>
        <v>0</v>
      </c>
      <c r="BA56" s="78"/>
      <c r="BB56" s="78"/>
      <c r="BC56" s="78">
        <f>IF(LED時期4="",0,IF(MOD(BC$44-1,LED時期4)=0,LED単価4*LED台数4,0))</f>
        <v>0</v>
      </c>
      <c r="BD56" s="78"/>
      <c r="BE56" s="78"/>
      <c r="BF56" s="78">
        <f>IF(LED時期4="",0,IF(MOD(BF$44-1,LED時期4)=0,LED単価4*LED台数4,0))</f>
        <v>0</v>
      </c>
      <c r="BG56" s="78"/>
      <c r="BH56" s="78"/>
      <c r="BI56" s="78">
        <f>IF(LED時期4="",0,IF(MOD(BI$44-1,LED時期4)=0,LED単価4*LED台数4,0))</f>
        <v>0</v>
      </c>
      <c r="BJ56" s="78"/>
      <c r="BK56" s="78"/>
      <c r="BL56" s="78">
        <f>IF(LED時期4="",0,IF(MOD(BL$44-1,LED時期4)=0,LED単価4*LED台数4,0))</f>
        <v>0</v>
      </c>
      <c r="BM56" s="78"/>
      <c r="BN56" s="78"/>
    </row>
    <row r="57" spans="1:66" s="22" customFormat="1" ht="9" customHeight="1" x14ac:dyDescent="0.15">
      <c r="A57" s="81" t="str">
        <f>IF(LED型式5="","",LED型式5)</f>
        <v>アイディスク150W</v>
      </c>
      <c r="B57" s="81"/>
      <c r="C57" s="81"/>
      <c r="D57" s="81"/>
      <c r="E57" s="81"/>
      <c r="F57" s="81"/>
      <c r="G57" s="76">
        <f>IF(LED単価5="","",LED単価5*LED台数5)</f>
        <v>1428000</v>
      </c>
      <c r="H57" s="76"/>
      <c r="I57" s="76"/>
      <c r="J57" s="78">
        <f>IF(LED時期5="",0,IF(MOD(J$44-1,LED時期5)=0,LED単価5*LED台数5,0))</f>
        <v>0</v>
      </c>
      <c r="K57" s="78"/>
      <c r="L57" s="78"/>
      <c r="M57" s="78">
        <f>IF(LED時期5="",0,IF(MOD(M$44-1,LED時期5)=0,LED単価5*LED台数5,0))</f>
        <v>0</v>
      </c>
      <c r="N57" s="78"/>
      <c r="O57" s="78"/>
      <c r="P57" s="78">
        <f>IF(LED時期5="",0,IF(MOD(P$44-1,LED時期5)=0,LED単価5*LED台数5,0))</f>
        <v>0</v>
      </c>
      <c r="Q57" s="78"/>
      <c r="R57" s="78"/>
      <c r="S57" s="78">
        <f>IF(LED時期5="",0,IF(MOD(S$44-1,LED時期5)=0,LED単価5*LED台数5,0))</f>
        <v>0</v>
      </c>
      <c r="T57" s="78"/>
      <c r="U57" s="78"/>
      <c r="V57" s="78">
        <f>IF(LED時期5="",0,IF(MOD(V$44-1,LED時期5)=0,LED単価5*LED台数5,0))</f>
        <v>0</v>
      </c>
      <c r="W57" s="78"/>
      <c r="X57" s="78"/>
      <c r="Y57" s="78">
        <f>IF(LED時期5="",0,IF(MOD(Y$44-1,LED時期5)=0,LED単価5*LED台数5,0))</f>
        <v>0</v>
      </c>
      <c r="Z57" s="78"/>
      <c r="AA57" s="78"/>
      <c r="AB57" s="78">
        <f>IF(LED時期5="",0,IF(MOD(AB$44-1,LED時期5)=0,LED単価5*LED台数5,0))</f>
        <v>0</v>
      </c>
      <c r="AC57" s="78"/>
      <c r="AD57" s="78"/>
      <c r="AE57" s="78">
        <f>IF(LED時期5="",0,IF(MOD(AE$44-1,LED時期5)=0,LED単価5*LED台数5,0))</f>
        <v>0</v>
      </c>
      <c r="AF57" s="78"/>
      <c r="AG57" s="78"/>
      <c r="AH57" s="78">
        <f>IF(LED時期5="",0,IF(MOD(AH$44-1,LED時期5)=0,LED単価5*LED台数5,0))</f>
        <v>0</v>
      </c>
      <c r="AI57" s="78"/>
      <c r="AJ57" s="78"/>
      <c r="AK57" s="78">
        <f>IF(LED時期5="",0,IF(MOD(AK$44-1,LED時期5)=0,LED単価5*LED台数5,0))</f>
        <v>0</v>
      </c>
      <c r="AL57" s="78"/>
      <c r="AM57" s="78"/>
      <c r="AN57" s="78">
        <f>IF(LED時期5="",0,IF(MOD(AN$44-1,LED時期5)=0,LED単価5*LED台数5,0))</f>
        <v>0</v>
      </c>
      <c r="AO57" s="78"/>
      <c r="AP57" s="78"/>
      <c r="AQ57" s="78">
        <f>IF(LED時期5="",0,IF(MOD(AQ$44-1,LED時期5)=0,LED単価5*LED台数5,0))</f>
        <v>0</v>
      </c>
      <c r="AR57" s="78"/>
      <c r="AS57" s="78"/>
      <c r="AT57" s="78">
        <f>IF(LED時期5="",0,IF(MOD(AT$44-1,LED時期5)=0,LED単価5*LED台数5,0))</f>
        <v>0</v>
      </c>
      <c r="AU57" s="78"/>
      <c r="AV57" s="78"/>
      <c r="AW57" s="78">
        <f>IF(LED時期5="",0,IF(MOD(AW$44-1,LED時期5)=0,LED単価5*LED台数5,0))</f>
        <v>1428000</v>
      </c>
      <c r="AX57" s="78"/>
      <c r="AY57" s="78"/>
      <c r="AZ57" s="78">
        <f>IF(LED時期5="",0,IF(MOD(AZ$44-1,LED時期5)=0,LED単価5*LED台数5,0))</f>
        <v>0</v>
      </c>
      <c r="BA57" s="78"/>
      <c r="BB57" s="78"/>
      <c r="BC57" s="78">
        <f>IF(LED時期5="",0,IF(MOD(BC$44-1,LED時期5)=0,LED単価5*LED台数5,0))</f>
        <v>0</v>
      </c>
      <c r="BD57" s="78"/>
      <c r="BE57" s="78"/>
      <c r="BF57" s="78">
        <f>IF(LED時期5="",0,IF(MOD(BF$44-1,LED時期5)=0,LED単価5*LED台数5,0))</f>
        <v>0</v>
      </c>
      <c r="BG57" s="78"/>
      <c r="BH57" s="78"/>
      <c r="BI57" s="78">
        <f>IF(LED時期5="",0,IF(MOD(BI$44-1,LED時期5)=0,LED単価5*LED台数5,0))</f>
        <v>0</v>
      </c>
      <c r="BJ57" s="78"/>
      <c r="BK57" s="78"/>
      <c r="BL57" s="78">
        <f>IF(LED時期5="",0,IF(MOD(BL$44-1,LED時期5)=0,LED単価5*LED台数5,0))</f>
        <v>0</v>
      </c>
      <c r="BM57" s="78"/>
      <c r="BN57" s="78"/>
    </row>
    <row r="58" spans="1:66" s="22" customFormat="1" ht="9" customHeight="1" x14ac:dyDescent="0.15">
      <c r="A58" s="81" t="str">
        <f>IF(LED型式6="","",LED型式6)</f>
        <v>ゼットディスク</v>
      </c>
      <c r="B58" s="81"/>
      <c r="C58" s="81"/>
      <c r="D58" s="81"/>
      <c r="E58" s="81"/>
      <c r="F58" s="81"/>
      <c r="G58" s="76">
        <f>IF(LED単価6="","",LED単価6*LED台数6)</f>
        <v>1428000</v>
      </c>
      <c r="H58" s="76"/>
      <c r="I58" s="76"/>
      <c r="J58" s="78">
        <f>IF(LED時期6="",0,IF(MOD(J$44-1,LED時期6)=0,LED単価6*LED台数6,0))</f>
        <v>0</v>
      </c>
      <c r="K58" s="78"/>
      <c r="L58" s="78"/>
      <c r="M58" s="78">
        <f>IF(LED時期6="",0,IF(MOD(M$44-1,LED時期6)=0,LED単価6*LED台数6,0))</f>
        <v>0</v>
      </c>
      <c r="N58" s="78"/>
      <c r="O58" s="78"/>
      <c r="P58" s="78">
        <f>IF(LED時期6="",0,IF(MOD(P$44-1,LED時期6)=0,LED単価6*LED台数6,0))</f>
        <v>0</v>
      </c>
      <c r="Q58" s="78"/>
      <c r="R58" s="78"/>
      <c r="S58" s="78">
        <f>IF(LED時期6="",0,IF(MOD(S$44-1,LED時期6)=0,LED単価6*LED台数6,0))</f>
        <v>0</v>
      </c>
      <c r="T58" s="78"/>
      <c r="U58" s="78"/>
      <c r="V58" s="78">
        <f>IF(LED時期6="",0,IF(MOD(V$44-1,LED時期6)=0,LED単価6*LED台数6,0))</f>
        <v>0</v>
      </c>
      <c r="W58" s="78"/>
      <c r="X58" s="78"/>
      <c r="Y58" s="78">
        <f>IF(LED時期6="",0,IF(MOD(Y$44-1,LED時期6)=0,LED単価6*LED台数6,0))</f>
        <v>0</v>
      </c>
      <c r="Z58" s="78"/>
      <c r="AA58" s="78"/>
      <c r="AB58" s="78">
        <f>IF(LED時期6="",0,IF(MOD(AB$44-1,LED時期6)=0,LED単価6*LED台数6,0))</f>
        <v>0</v>
      </c>
      <c r="AC58" s="78"/>
      <c r="AD58" s="78"/>
      <c r="AE58" s="78">
        <f>IF(LED時期6="",0,IF(MOD(AE$44-1,LED時期6)=0,LED単価6*LED台数6,0))</f>
        <v>0</v>
      </c>
      <c r="AF58" s="78"/>
      <c r="AG58" s="78"/>
      <c r="AH58" s="78">
        <f>IF(LED時期6="",0,IF(MOD(AH$44-1,LED時期6)=0,LED単価6*LED台数6,0))</f>
        <v>0</v>
      </c>
      <c r="AI58" s="78"/>
      <c r="AJ58" s="78"/>
      <c r="AK58" s="78">
        <f>IF(LED時期6="",0,IF(MOD(AK$44-1,LED時期6)=0,LED単価6*LED台数6,0))</f>
        <v>0</v>
      </c>
      <c r="AL58" s="78"/>
      <c r="AM58" s="78"/>
      <c r="AN58" s="78">
        <f>IF(LED時期6="",0,IF(MOD(AN$44-1,LED時期6)=0,LED単価6*LED台数6,0))</f>
        <v>1428000</v>
      </c>
      <c r="AO58" s="78"/>
      <c r="AP58" s="78"/>
      <c r="AQ58" s="78">
        <f>IF(LED時期6="",0,IF(MOD(AQ$44-1,LED時期6)=0,LED単価6*LED台数6,0))</f>
        <v>0</v>
      </c>
      <c r="AR58" s="78"/>
      <c r="AS58" s="78"/>
      <c r="AT58" s="78">
        <f>IF(LED時期6="",0,IF(MOD(AT$44-1,LED時期6)=0,LED単価6*LED台数6,0))</f>
        <v>0</v>
      </c>
      <c r="AU58" s="78"/>
      <c r="AV58" s="78"/>
      <c r="AW58" s="78">
        <f>IF(LED時期6="",0,IF(MOD(AW$44-1,LED時期6)=0,LED単価6*LED台数6,0))</f>
        <v>0</v>
      </c>
      <c r="AX58" s="78"/>
      <c r="AY58" s="78"/>
      <c r="AZ58" s="78">
        <f>IF(LED時期6="",0,IF(MOD(AZ$44-1,LED時期6)=0,LED単価6*LED台数6,0))</f>
        <v>0</v>
      </c>
      <c r="BA58" s="78"/>
      <c r="BB58" s="78"/>
      <c r="BC58" s="78">
        <f>IF(LED時期6="",0,IF(MOD(BC$44-1,LED時期6)=0,LED単価6*LED台数6,0))</f>
        <v>0</v>
      </c>
      <c r="BD58" s="78"/>
      <c r="BE58" s="78"/>
      <c r="BF58" s="78">
        <f>IF(LED時期6="",0,IF(MOD(BF$44-1,LED時期6)=0,LED単価6*LED台数6,0))</f>
        <v>0</v>
      </c>
      <c r="BG58" s="78"/>
      <c r="BH58" s="78"/>
      <c r="BI58" s="78">
        <f>IF(LED時期6="",0,IF(MOD(BI$44-1,LED時期6)=0,LED単価6*LED台数6,0))</f>
        <v>0</v>
      </c>
      <c r="BJ58" s="78"/>
      <c r="BK58" s="78"/>
      <c r="BL58" s="78">
        <f>IF(LED時期6="",0,IF(MOD(BL$44-1,LED時期6)=0,LED単価6*LED台数6,0))</f>
        <v>0</v>
      </c>
      <c r="BM58" s="78"/>
      <c r="BN58" s="78"/>
    </row>
    <row r="59" spans="1:66" s="22" customFormat="1" ht="9" customHeight="1" x14ac:dyDescent="0.15">
      <c r="A59" s="81" t="s">
        <v>12</v>
      </c>
      <c r="B59" s="81"/>
      <c r="C59" s="81"/>
      <c r="D59" s="81"/>
      <c r="E59" s="81"/>
      <c r="F59" s="81"/>
      <c r="G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H59" s="76"/>
      <c r="I59" s="76"/>
      <c r="J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K59" s="76"/>
      <c r="L59" s="76"/>
      <c r="M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N59" s="76"/>
      <c r="O59" s="76"/>
      <c r="P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Q59" s="76"/>
      <c r="R59" s="76"/>
      <c r="S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T59" s="76"/>
      <c r="U59" s="76"/>
      <c r="V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W59" s="76"/>
      <c r="X59" s="76"/>
      <c r="Y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Z59" s="76"/>
      <c r="AA59" s="76"/>
      <c r="AB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C59" s="76"/>
      <c r="AD59" s="76"/>
      <c r="AE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F59" s="76"/>
      <c r="AG59" s="76"/>
      <c r="AH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I59" s="76"/>
      <c r="AJ59" s="76"/>
      <c r="AK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L59" s="76"/>
      <c r="AM59" s="76"/>
      <c r="AN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O59" s="76"/>
      <c r="AP59" s="76"/>
      <c r="AQ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R59" s="76"/>
      <c r="AS59" s="76"/>
      <c r="AT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U59" s="76"/>
      <c r="AV59" s="76"/>
      <c r="AW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AX59" s="76"/>
      <c r="AY59" s="76"/>
      <c r="AZ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BA59" s="76"/>
      <c r="BB59" s="76"/>
      <c r="BC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BD59" s="76"/>
      <c r="BE59" s="76"/>
      <c r="BF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BG59" s="76"/>
      <c r="BH59" s="76"/>
      <c r="BI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BJ59" s="76"/>
      <c r="BK59" s="76"/>
      <c r="BL59" s="76">
        <f>(LED電力1*LED台数1*LED点灯時間1+LED電力2*LED台数2*LED点灯時間2+LED電力3*LED台数3*LED点灯時間3+LED電力4*LED台数4*LED点灯時間4+LED電力5*LED台数5*LED点灯時間5+LED電力6*LED台数6*LED点灯時間6)/1000*点灯日数*電力単価</f>
        <v>2743774.35</v>
      </c>
      <c r="BM59" s="76"/>
      <c r="BN59" s="76"/>
    </row>
    <row r="60" spans="1:66" s="22" customFormat="1" ht="9" customHeight="1" x14ac:dyDescent="0.15">
      <c r="A60" s="82" t="s">
        <v>11</v>
      </c>
      <c r="B60" s="82"/>
      <c r="C60" s="82"/>
      <c r="D60" s="82"/>
      <c r="E60" s="82"/>
      <c r="F60" s="82"/>
      <c r="G60" s="77">
        <f>SUM(G53:I59)</f>
        <v>13254274.35</v>
      </c>
      <c r="H60" s="77"/>
      <c r="I60" s="77"/>
      <c r="J60" s="77">
        <f>G60+SUM(J53:L59)</f>
        <v>15998048.699999999</v>
      </c>
      <c r="K60" s="77"/>
      <c r="L60" s="77"/>
      <c r="M60" s="77">
        <f>J60+SUM(M53:O59)</f>
        <v>18741823.050000001</v>
      </c>
      <c r="N60" s="77"/>
      <c r="O60" s="77"/>
      <c r="P60" s="77">
        <f>M60+SUM(P53:R59)</f>
        <v>21485597.400000002</v>
      </c>
      <c r="Q60" s="77"/>
      <c r="R60" s="77"/>
      <c r="S60" s="77">
        <f>P60+SUM(S53:U59)</f>
        <v>24229371.750000004</v>
      </c>
      <c r="T60" s="77"/>
      <c r="U60" s="77"/>
      <c r="V60" s="77">
        <f>S60+SUM(V53:X59)</f>
        <v>26973146.100000005</v>
      </c>
      <c r="W60" s="77"/>
      <c r="X60" s="77"/>
      <c r="Y60" s="77">
        <f>V60+SUM(Y53:AA59)</f>
        <v>29716920.450000007</v>
      </c>
      <c r="Z60" s="77"/>
      <c r="AA60" s="77"/>
      <c r="AB60" s="77">
        <f>Y60+SUM(AB53:AD59)</f>
        <v>32460694.800000008</v>
      </c>
      <c r="AC60" s="77"/>
      <c r="AD60" s="77"/>
      <c r="AE60" s="77">
        <f>AB60+SUM(AE53:AG59)</f>
        <v>35204469.150000006</v>
      </c>
      <c r="AF60" s="77"/>
      <c r="AG60" s="77"/>
      <c r="AH60" s="77">
        <f>AE60+SUM(AH53:AJ59)</f>
        <v>37948243.500000007</v>
      </c>
      <c r="AI60" s="77"/>
      <c r="AJ60" s="77"/>
      <c r="AK60" s="77">
        <f>AH60+SUM(AK53:AM59)</f>
        <v>40692017.850000009</v>
      </c>
      <c r="AL60" s="77"/>
      <c r="AM60" s="77"/>
      <c r="AN60" s="77">
        <f>AK60+SUM(AN53:AP59)</f>
        <v>44863792.20000001</v>
      </c>
      <c r="AO60" s="77"/>
      <c r="AP60" s="77"/>
      <c r="AQ60" s="77">
        <f>AN60+SUM(AQ53:AS59)</f>
        <v>47607566.550000012</v>
      </c>
      <c r="AR60" s="77"/>
      <c r="AS60" s="77"/>
      <c r="AT60" s="77">
        <f>AQ60+SUM(AT53:AV59)</f>
        <v>50351340.900000013</v>
      </c>
      <c r="AU60" s="77"/>
      <c r="AV60" s="77"/>
      <c r="AW60" s="77">
        <f>AT60+SUM(AW53:AY59)</f>
        <v>62177615.250000015</v>
      </c>
      <c r="AX60" s="77"/>
      <c r="AY60" s="77"/>
      <c r="AZ60" s="77">
        <f>AW60+SUM(AZ53:BB59)</f>
        <v>64921389.600000016</v>
      </c>
      <c r="BA60" s="77"/>
      <c r="BB60" s="77"/>
      <c r="BC60" s="77">
        <f>AZ60+SUM(BC53:BE59)</f>
        <v>67665163.950000018</v>
      </c>
      <c r="BD60" s="77"/>
      <c r="BE60" s="77"/>
      <c r="BF60" s="77">
        <f>BC60+SUM(BF53:BH59)</f>
        <v>70408938.300000012</v>
      </c>
      <c r="BG60" s="77"/>
      <c r="BH60" s="77"/>
      <c r="BI60" s="77">
        <f>BF60+SUM(BI53:BK59)</f>
        <v>73152712.650000006</v>
      </c>
      <c r="BJ60" s="77"/>
      <c r="BK60" s="77"/>
      <c r="BL60" s="77">
        <f>BI60+SUM(BL53:BN59)</f>
        <v>75896487</v>
      </c>
      <c r="BM60" s="77"/>
      <c r="BN60" s="77"/>
    </row>
    <row r="61" spans="1:66" s="22" customFormat="1" ht="9" customHeight="1" x14ac:dyDescent="0.15">
      <c r="A61" s="81" t="s">
        <v>10</v>
      </c>
      <c r="B61" s="81"/>
      <c r="C61" s="81"/>
      <c r="D61" s="81"/>
      <c r="E61" s="81"/>
      <c r="F61" s="81"/>
      <c r="G61" s="76">
        <f>G52-G60</f>
        <v>-1670686.6500000004</v>
      </c>
      <c r="H61" s="76"/>
      <c r="I61" s="76"/>
      <c r="J61" s="76">
        <f>J52-J60</f>
        <v>2777126.6999999993</v>
      </c>
      <c r="K61" s="76"/>
      <c r="L61" s="76"/>
      <c r="M61" s="76">
        <f>M52-M60</f>
        <v>7224940.049999997</v>
      </c>
      <c r="N61" s="76"/>
      <c r="O61" s="76"/>
      <c r="P61" s="76">
        <f>P52-P60</f>
        <v>11672753.399999995</v>
      </c>
      <c r="Q61" s="76"/>
      <c r="R61" s="76"/>
      <c r="S61" s="76">
        <f>S52-S60</f>
        <v>20512566.749999996</v>
      </c>
      <c r="T61" s="76"/>
      <c r="U61" s="76"/>
      <c r="V61" s="76">
        <f>V52-V60</f>
        <v>24960380.099999998</v>
      </c>
      <c r="W61" s="76"/>
      <c r="X61" s="76"/>
      <c r="Y61" s="76">
        <f>Y52-Y60</f>
        <v>29408193.449999999</v>
      </c>
      <c r="Z61" s="76"/>
      <c r="AA61" s="76"/>
      <c r="AB61" s="76">
        <f>AB52-AB60</f>
        <v>33856006.799999997</v>
      </c>
      <c r="AC61" s="76"/>
      <c r="AD61" s="76"/>
      <c r="AE61" s="76">
        <f>AE52-AE60</f>
        <v>42695820.150000006</v>
      </c>
      <c r="AF61" s="76"/>
      <c r="AG61" s="76"/>
      <c r="AH61" s="76">
        <f>AH52-AH60</f>
        <v>47143633.500000007</v>
      </c>
      <c r="AI61" s="76"/>
      <c r="AJ61" s="76"/>
      <c r="AK61" s="76">
        <f>AK52-AK60</f>
        <v>51591446.850000009</v>
      </c>
      <c r="AL61" s="76"/>
      <c r="AM61" s="76"/>
      <c r="AN61" s="76">
        <f>AN52-AN60</f>
        <v>54611260.20000001</v>
      </c>
      <c r="AO61" s="76"/>
      <c r="AP61" s="76"/>
      <c r="AQ61" s="76">
        <f>AQ52-AQ60</f>
        <v>63451073.550000012</v>
      </c>
      <c r="AR61" s="76"/>
      <c r="AS61" s="76"/>
      <c r="AT61" s="76">
        <f>AT52-AT60</f>
        <v>67898886.900000006</v>
      </c>
      <c r="AU61" s="76"/>
      <c r="AV61" s="76"/>
      <c r="AW61" s="76">
        <f>AW52-AW60</f>
        <v>63264200.250000015</v>
      </c>
      <c r="AX61" s="76"/>
      <c r="AY61" s="76"/>
      <c r="AZ61" s="76">
        <f>AZ52-AZ60</f>
        <v>67712013.600000024</v>
      </c>
      <c r="BA61" s="76"/>
      <c r="BB61" s="76"/>
      <c r="BC61" s="76">
        <f>BC52-BC60</f>
        <v>76551826.950000018</v>
      </c>
      <c r="BD61" s="76"/>
      <c r="BE61" s="76"/>
      <c r="BF61" s="76">
        <f>BF52-BF60</f>
        <v>80999640.300000012</v>
      </c>
      <c r="BG61" s="76"/>
      <c r="BH61" s="76"/>
      <c r="BI61" s="76">
        <f>BI52-BI60</f>
        <v>85447453.650000006</v>
      </c>
      <c r="BJ61" s="76"/>
      <c r="BK61" s="76"/>
      <c r="BL61" s="76">
        <f>BL52-BL60</f>
        <v>89895267</v>
      </c>
      <c r="BM61" s="76"/>
      <c r="BN61" s="76"/>
    </row>
  </sheetData>
  <sheetProtection algorithmName="SHA-512" hashValue="W0PoCC6bf/6O9Blb8dRC1pFyMAQhO99Vb5xsp3IkF5xefaPk2zA1/jEi/TtGKsJimFfjBQNmel8tKfhmRiz2pA==" saltValue="vOL8+cfB5NG1CclS7awB+Q==" spinCount="100000" sheet="1" objects="1" scenarios="1" selectLockedCells="1"/>
  <mergeCells count="521">
    <mergeCell ref="BL56:BN56"/>
    <mergeCell ref="A55:F55"/>
    <mergeCell ref="G55:I55"/>
    <mergeCell ref="AH52:AJ52"/>
    <mergeCell ref="AK52:AM52"/>
    <mergeCell ref="AN52:AP52"/>
    <mergeCell ref="AZ53:BB53"/>
    <mergeCell ref="BL55:BN55"/>
    <mergeCell ref="A56:F56"/>
    <mergeCell ref="G56:I56"/>
    <mergeCell ref="J56:L56"/>
    <mergeCell ref="M56:O56"/>
    <mergeCell ref="P56:R56"/>
    <mergeCell ref="S56:U56"/>
    <mergeCell ref="V56:X56"/>
    <mergeCell ref="Y56:AA56"/>
    <mergeCell ref="AB56:AD56"/>
    <mergeCell ref="AE56:AG56"/>
    <mergeCell ref="AH56:AJ56"/>
    <mergeCell ref="AK56:AM56"/>
    <mergeCell ref="AN56:AP56"/>
    <mergeCell ref="AQ56:AS56"/>
    <mergeCell ref="AT56:AV56"/>
    <mergeCell ref="AW56:AY56"/>
    <mergeCell ref="J55:L55"/>
    <mergeCell ref="M55:O55"/>
    <mergeCell ref="P55:R55"/>
    <mergeCell ref="S55:U55"/>
    <mergeCell ref="V55:X55"/>
    <mergeCell ref="Y55:AA55"/>
    <mergeCell ref="AB55:AD55"/>
    <mergeCell ref="BF49:BH49"/>
    <mergeCell ref="BI49:BK49"/>
    <mergeCell ref="AK49:AM49"/>
    <mergeCell ref="AN49:AP49"/>
    <mergeCell ref="AQ49:AS49"/>
    <mergeCell ref="AT49:AV49"/>
    <mergeCell ref="AW49:AY49"/>
    <mergeCell ref="AZ49:BB49"/>
    <mergeCell ref="BC49:BE49"/>
    <mergeCell ref="AQ52:AS52"/>
    <mergeCell ref="Y52:AA52"/>
    <mergeCell ref="AB52:AD52"/>
    <mergeCell ref="AE52:AG52"/>
    <mergeCell ref="S49:U49"/>
    <mergeCell ref="V49:X49"/>
    <mergeCell ref="Y49:AA49"/>
    <mergeCell ref="AB49:AD49"/>
    <mergeCell ref="BL49:BN49"/>
    <mergeCell ref="A50:F50"/>
    <mergeCell ref="G50:I50"/>
    <mergeCell ref="J50:L50"/>
    <mergeCell ref="M50:O50"/>
    <mergeCell ref="P50:R50"/>
    <mergeCell ref="S50:U50"/>
    <mergeCell ref="V50:X50"/>
    <mergeCell ref="Y50:AA50"/>
    <mergeCell ref="AB50:AD50"/>
    <mergeCell ref="AE50:AG50"/>
    <mergeCell ref="AH50:AJ50"/>
    <mergeCell ref="AK50:AM50"/>
    <mergeCell ref="AN50:AP50"/>
    <mergeCell ref="AQ50:AS50"/>
    <mergeCell ref="AT50:AV50"/>
    <mergeCell ref="AW50:AY50"/>
    <mergeCell ref="L12:R13"/>
    <mergeCell ref="L18:R19"/>
    <mergeCell ref="L20:R21"/>
    <mergeCell ref="L14:R15"/>
    <mergeCell ref="L16:R17"/>
    <mergeCell ref="A8:H9"/>
    <mergeCell ref="L8:R9"/>
    <mergeCell ref="L10:R11"/>
    <mergeCell ref="A49:F49"/>
    <mergeCell ref="G49:I49"/>
    <mergeCell ref="J49:L49"/>
    <mergeCell ref="M49:O49"/>
    <mergeCell ref="P49:R49"/>
    <mergeCell ref="AH14:AK15"/>
    <mergeCell ref="S16:U17"/>
    <mergeCell ref="V16:X17"/>
    <mergeCell ref="Y16:AA17"/>
    <mergeCell ref="AB16:AE17"/>
    <mergeCell ref="AH16:AK17"/>
    <mergeCell ref="AZ50:BB50"/>
    <mergeCell ref="BC50:BE50"/>
    <mergeCell ref="BF50:BH50"/>
    <mergeCell ref="BF27:BN27"/>
    <mergeCell ref="BF26:BN26"/>
    <mergeCell ref="AY26:BE26"/>
    <mergeCell ref="AY27:BE27"/>
    <mergeCell ref="AY29:BE29"/>
    <mergeCell ref="AY30:BE30"/>
    <mergeCell ref="BF29:BN29"/>
    <mergeCell ref="BF30:BN30"/>
    <mergeCell ref="BI50:BK50"/>
    <mergeCell ref="BL50:BN50"/>
    <mergeCell ref="AE49:AG49"/>
    <mergeCell ref="AH49:AJ49"/>
    <mergeCell ref="AO14:AU15"/>
    <mergeCell ref="BE18:BH19"/>
    <mergeCell ref="BE20:BH21"/>
    <mergeCell ref="AO16:AU17"/>
    <mergeCell ref="AV16:AX17"/>
    <mergeCell ref="AY16:BA17"/>
    <mergeCell ref="BI18:BJ19"/>
    <mergeCell ref="BI20:BJ21"/>
    <mergeCell ref="AY24:BE24"/>
    <mergeCell ref="AY23:BE23"/>
    <mergeCell ref="BF23:BN23"/>
    <mergeCell ref="BF24:BN24"/>
    <mergeCell ref="AY14:BA15"/>
    <mergeCell ref="BB14:BD15"/>
    <mergeCell ref="BE14:BH15"/>
    <mergeCell ref="BK14:BN15"/>
    <mergeCell ref="BB16:BD17"/>
    <mergeCell ref="BE16:BH17"/>
    <mergeCell ref="BK16:BN17"/>
    <mergeCell ref="AV20:AX21"/>
    <mergeCell ref="AO18:AU19"/>
    <mergeCell ref="AY20:BA21"/>
    <mergeCell ref="BB12:BD13"/>
    <mergeCell ref="BB18:BD19"/>
    <mergeCell ref="BB20:BD21"/>
    <mergeCell ref="AV14:AX15"/>
    <mergeCell ref="AV8:AX9"/>
    <mergeCell ref="AY8:BA9"/>
    <mergeCell ref="BB8:BD9"/>
    <mergeCell ref="BB10:BD11"/>
    <mergeCell ref="Y20:AA21"/>
    <mergeCell ref="AB8:AE9"/>
    <mergeCell ref="AB12:AE13"/>
    <mergeCell ref="AB18:AE19"/>
    <mergeCell ref="AB20:AE21"/>
    <mergeCell ref="Y8:AA9"/>
    <mergeCell ref="Y12:AA13"/>
    <mergeCell ref="Y18:AA19"/>
    <mergeCell ref="S12:U13"/>
    <mergeCell ref="V12:X13"/>
    <mergeCell ref="V18:X19"/>
    <mergeCell ref="V20:X21"/>
    <mergeCell ref="V8:X9"/>
    <mergeCell ref="S18:U19"/>
    <mergeCell ref="S8:U9"/>
    <mergeCell ref="S14:U15"/>
    <mergeCell ref="V14:X15"/>
    <mergeCell ref="Y14:AA15"/>
    <mergeCell ref="AB14:AE15"/>
    <mergeCell ref="J20:K21"/>
    <mergeCell ref="S20:U21"/>
    <mergeCell ref="BK3:BN3"/>
    <mergeCell ref="AF30:AI31"/>
    <mergeCell ref="AJ30:AQ31"/>
    <mergeCell ref="AB30:AE31"/>
    <mergeCell ref="BK12:BN13"/>
    <mergeCell ref="AH20:AK21"/>
    <mergeCell ref="BK20:BN21"/>
    <mergeCell ref="BK18:BN19"/>
    <mergeCell ref="AM8:AN9"/>
    <mergeCell ref="AM10:AN11"/>
    <mergeCell ref="AM12:AN13"/>
    <mergeCell ref="AM14:AN15"/>
    <mergeCell ref="AM16:AN17"/>
    <mergeCell ref="AM18:AN19"/>
    <mergeCell ref="AM20:AN21"/>
    <mergeCell ref="BK8:BN9"/>
    <mergeCell ref="BE8:BH9"/>
    <mergeCell ref="AV12:AX13"/>
    <mergeCell ref="AV18:AX19"/>
    <mergeCell ref="AF10:AG11"/>
    <mergeCell ref="AF20:AG21"/>
    <mergeCell ref="AH10:AK11"/>
    <mergeCell ref="BK10:BN11"/>
    <mergeCell ref="AO10:AU11"/>
    <mergeCell ref="AF8:AG9"/>
    <mergeCell ref="J8:K9"/>
    <mergeCell ref="J10:K11"/>
    <mergeCell ref="J12:K13"/>
    <mergeCell ref="J14:K15"/>
    <mergeCell ref="J16:K17"/>
    <mergeCell ref="J18:K19"/>
    <mergeCell ref="AV10:AX11"/>
    <mergeCell ref="AY10:BA11"/>
    <mergeCell ref="S10:U11"/>
    <mergeCell ref="V10:X11"/>
    <mergeCell ref="Y10:AA11"/>
    <mergeCell ref="AB10:AE11"/>
    <mergeCell ref="BI8:BJ9"/>
    <mergeCell ref="BE12:BH13"/>
    <mergeCell ref="BE10:BH11"/>
    <mergeCell ref="BI10:BJ11"/>
    <mergeCell ref="BI12:BJ13"/>
    <mergeCell ref="BI14:BJ15"/>
    <mergeCell ref="BI16:BJ17"/>
    <mergeCell ref="AY12:BA13"/>
    <mergeCell ref="AY18:BA19"/>
    <mergeCell ref="A59:F59"/>
    <mergeCell ref="A60:F60"/>
    <mergeCell ref="A61:F61"/>
    <mergeCell ref="G44:I44"/>
    <mergeCell ref="J44:L44"/>
    <mergeCell ref="M44:O44"/>
    <mergeCell ref="G46:I46"/>
    <mergeCell ref="G47:I47"/>
    <mergeCell ref="G48:I48"/>
    <mergeCell ref="G51:I51"/>
    <mergeCell ref="A44:F44"/>
    <mergeCell ref="A45:F45"/>
    <mergeCell ref="A46:F46"/>
    <mergeCell ref="A47:F47"/>
    <mergeCell ref="A48:F48"/>
    <mergeCell ref="A51:F51"/>
    <mergeCell ref="A52:F52"/>
    <mergeCell ref="A53:F53"/>
    <mergeCell ref="A54:F54"/>
    <mergeCell ref="A57:F57"/>
    <mergeCell ref="A58:F58"/>
    <mergeCell ref="G60:I60"/>
    <mergeCell ref="G61:I61"/>
    <mergeCell ref="M51:O51"/>
    <mergeCell ref="AZ44:BB44"/>
    <mergeCell ref="BC44:BE44"/>
    <mergeCell ref="BF44:BH44"/>
    <mergeCell ref="BI44:BK44"/>
    <mergeCell ref="BL44:BN44"/>
    <mergeCell ref="G45:I45"/>
    <mergeCell ref="V45:X45"/>
    <mergeCell ref="Y45:AA45"/>
    <mergeCell ref="AB45:AD45"/>
    <mergeCell ref="AE45:AG45"/>
    <mergeCell ref="AH44:AJ44"/>
    <mergeCell ref="AK44:AM44"/>
    <mergeCell ref="AN44:AP44"/>
    <mergeCell ref="AQ44:AS44"/>
    <mergeCell ref="AT44:AV44"/>
    <mergeCell ref="AW44:AY44"/>
    <mergeCell ref="P44:R44"/>
    <mergeCell ref="S44:U44"/>
    <mergeCell ref="V44:X44"/>
    <mergeCell ref="Y44:AA44"/>
    <mergeCell ref="AB44:AD44"/>
    <mergeCell ref="AE44:AG44"/>
    <mergeCell ref="J45:L45"/>
    <mergeCell ref="M45:O45"/>
    <mergeCell ref="P45:R45"/>
    <mergeCell ref="S45:U45"/>
    <mergeCell ref="G52:I52"/>
    <mergeCell ref="G53:I53"/>
    <mergeCell ref="G54:I54"/>
    <mergeCell ref="AB48:AD48"/>
    <mergeCell ref="AE48:AG48"/>
    <mergeCell ref="G57:I57"/>
    <mergeCell ref="G58:I58"/>
    <mergeCell ref="P51:R51"/>
    <mergeCell ref="M53:O53"/>
    <mergeCell ref="P53:R53"/>
    <mergeCell ref="S53:U53"/>
    <mergeCell ref="V53:X53"/>
    <mergeCell ref="Y53:AA53"/>
    <mergeCell ref="AB53:AD53"/>
    <mergeCell ref="AE53:AG53"/>
    <mergeCell ref="M57:O57"/>
    <mergeCell ref="P57:R57"/>
    <mergeCell ref="S57:U57"/>
    <mergeCell ref="V57:X57"/>
    <mergeCell ref="Y57:AA57"/>
    <mergeCell ref="AB57:AD57"/>
    <mergeCell ref="AE57:AG57"/>
    <mergeCell ref="G59:I59"/>
    <mergeCell ref="AZ45:BB45"/>
    <mergeCell ref="J47:L47"/>
    <mergeCell ref="M47:O47"/>
    <mergeCell ref="P47:R47"/>
    <mergeCell ref="S47:U47"/>
    <mergeCell ref="V47:X47"/>
    <mergeCell ref="Y47:AA47"/>
    <mergeCell ref="AB47:AD47"/>
    <mergeCell ref="AE47:AG47"/>
    <mergeCell ref="AB46:AD46"/>
    <mergeCell ref="AE46:AG46"/>
    <mergeCell ref="AH46:AJ46"/>
    <mergeCell ref="AK46:AM46"/>
    <mergeCell ref="AN46:AP46"/>
    <mergeCell ref="AZ47:BB47"/>
    <mergeCell ref="J51:L51"/>
    <mergeCell ref="S51:U51"/>
    <mergeCell ref="V51:X51"/>
    <mergeCell ref="Y51:AA51"/>
    <mergeCell ref="AB51:AD51"/>
    <mergeCell ref="AE51:AG51"/>
    <mergeCell ref="AH48:AJ48"/>
    <mergeCell ref="AK48:AM48"/>
    <mergeCell ref="BC45:BE45"/>
    <mergeCell ref="BF45:BH45"/>
    <mergeCell ref="BI45:BK45"/>
    <mergeCell ref="BL45:BN45"/>
    <mergeCell ref="J46:L46"/>
    <mergeCell ref="M46:O46"/>
    <mergeCell ref="P46:R46"/>
    <mergeCell ref="S46:U46"/>
    <mergeCell ref="V46:X46"/>
    <mergeCell ref="AH45:AJ45"/>
    <mergeCell ref="AK45:AM45"/>
    <mergeCell ref="AN45:AP45"/>
    <mergeCell ref="AQ45:AS45"/>
    <mergeCell ref="AT45:AV45"/>
    <mergeCell ref="AW45:AY45"/>
    <mergeCell ref="BI46:BK46"/>
    <mergeCell ref="BL46:BN46"/>
    <mergeCell ref="AQ46:AS46"/>
    <mergeCell ref="AT46:AV46"/>
    <mergeCell ref="AW46:AY46"/>
    <mergeCell ref="AZ46:BB46"/>
    <mergeCell ref="BC46:BE46"/>
    <mergeCell ref="BF46:BH46"/>
    <mergeCell ref="Y46:AA46"/>
    <mergeCell ref="BC47:BE47"/>
    <mergeCell ref="BF47:BH47"/>
    <mergeCell ref="BI47:BK47"/>
    <mergeCell ref="BL47:BN47"/>
    <mergeCell ref="J48:L48"/>
    <mergeCell ref="M48:O48"/>
    <mergeCell ref="P48:R48"/>
    <mergeCell ref="S48:U48"/>
    <mergeCell ref="V48:X48"/>
    <mergeCell ref="AH47:AJ47"/>
    <mergeCell ref="AK47:AM47"/>
    <mergeCell ref="AN47:AP47"/>
    <mergeCell ref="AQ47:AS47"/>
    <mergeCell ref="AT47:AV47"/>
    <mergeCell ref="AW47:AY47"/>
    <mergeCell ref="BI48:BK48"/>
    <mergeCell ref="BL48:BN48"/>
    <mergeCell ref="AZ48:BB48"/>
    <mergeCell ref="BC48:BE48"/>
    <mergeCell ref="BF48:BH48"/>
    <mergeCell ref="AQ48:AS48"/>
    <mergeCell ref="AT48:AV48"/>
    <mergeCell ref="AW48:AY48"/>
    <mergeCell ref="Y48:AA48"/>
    <mergeCell ref="AN48:AP48"/>
    <mergeCell ref="AZ51:BB51"/>
    <mergeCell ref="BC51:BE51"/>
    <mergeCell ref="BF51:BH51"/>
    <mergeCell ref="BI51:BK51"/>
    <mergeCell ref="BL51:BN51"/>
    <mergeCell ref="J52:L52"/>
    <mergeCell ref="M52:O52"/>
    <mergeCell ref="P52:R52"/>
    <mergeCell ref="S52:U52"/>
    <mergeCell ref="V52:X52"/>
    <mergeCell ref="AH51:AJ51"/>
    <mergeCell ref="AK51:AM51"/>
    <mergeCell ref="AN51:AP51"/>
    <mergeCell ref="AQ51:AS51"/>
    <mergeCell ref="AT51:AV51"/>
    <mergeCell ref="AW51:AY51"/>
    <mergeCell ref="BI52:BK52"/>
    <mergeCell ref="BL52:BN52"/>
    <mergeCell ref="AT52:AV52"/>
    <mergeCell ref="AW52:AY52"/>
    <mergeCell ref="AZ52:BB52"/>
    <mergeCell ref="BC52:BE52"/>
    <mergeCell ref="BF52:BH52"/>
    <mergeCell ref="BC53:BE53"/>
    <mergeCell ref="BF53:BH53"/>
    <mergeCell ref="BI53:BK53"/>
    <mergeCell ref="BL53:BN53"/>
    <mergeCell ref="J54:L54"/>
    <mergeCell ref="M54:O54"/>
    <mergeCell ref="P54:R54"/>
    <mergeCell ref="S54:U54"/>
    <mergeCell ref="V54:X54"/>
    <mergeCell ref="AH53:AJ53"/>
    <mergeCell ref="AK53:AM53"/>
    <mergeCell ref="AN53:AP53"/>
    <mergeCell ref="AQ53:AS53"/>
    <mergeCell ref="AT53:AV53"/>
    <mergeCell ref="AW53:AY53"/>
    <mergeCell ref="BI54:BK54"/>
    <mergeCell ref="BL54:BN54"/>
    <mergeCell ref="AT54:AV54"/>
    <mergeCell ref="AW54:AY54"/>
    <mergeCell ref="AZ54:BB54"/>
    <mergeCell ref="BC54:BE54"/>
    <mergeCell ref="BF54:BH54"/>
    <mergeCell ref="J53:L53"/>
    <mergeCell ref="AQ54:AS54"/>
    <mergeCell ref="BF55:BH55"/>
    <mergeCell ref="BI55:BK55"/>
    <mergeCell ref="Y54:AA54"/>
    <mergeCell ref="AB54:AD54"/>
    <mergeCell ref="AE54:AG54"/>
    <mergeCell ref="AH54:AJ54"/>
    <mergeCell ref="AK54:AM54"/>
    <mergeCell ref="AN54:AP54"/>
    <mergeCell ref="AZ57:BB57"/>
    <mergeCell ref="BC57:BE57"/>
    <mergeCell ref="BF57:BH57"/>
    <mergeCell ref="BI56:BK56"/>
    <mergeCell ref="AE55:AG55"/>
    <mergeCell ref="AH55:AJ55"/>
    <mergeCell ref="AK55:AM55"/>
    <mergeCell ref="AN55:AP55"/>
    <mergeCell ref="AQ55:AS55"/>
    <mergeCell ref="AT55:AV55"/>
    <mergeCell ref="AW55:AY55"/>
    <mergeCell ref="AZ55:BB55"/>
    <mergeCell ref="BC55:BE55"/>
    <mergeCell ref="AZ56:BB56"/>
    <mergeCell ref="BC56:BE56"/>
    <mergeCell ref="BF56:BH56"/>
    <mergeCell ref="BL57:BN57"/>
    <mergeCell ref="J58:L58"/>
    <mergeCell ref="M58:O58"/>
    <mergeCell ref="P58:R58"/>
    <mergeCell ref="S58:U58"/>
    <mergeCell ref="V58:X58"/>
    <mergeCell ref="AH57:AJ57"/>
    <mergeCell ref="AK57:AM57"/>
    <mergeCell ref="AN57:AP57"/>
    <mergeCell ref="AQ57:AS57"/>
    <mergeCell ref="AT57:AV57"/>
    <mergeCell ref="AW57:AY57"/>
    <mergeCell ref="BI58:BK58"/>
    <mergeCell ref="BL58:BN58"/>
    <mergeCell ref="AT58:AV58"/>
    <mergeCell ref="AW58:AY58"/>
    <mergeCell ref="AZ58:BB58"/>
    <mergeCell ref="BC58:BE58"/>
    <mergeCell ref="BF58:BH58"/>
    <mergeCell ref="J57:L57"/>
    <mergeCell ref="BI57:BK57"/>
    <mergeCell ref="M59:O59"/>
    <mergeCell ref="P59:R59"/>
    <mergeCell ref="S59:U59"/>
    <mergeCell ref="V59:X59"/>
    <mergeCell ref="Y59:AA59"/>
    <mergeCell ref="AB59:AD59"/>
    <mergeCell ref="AE59:AG59"/>
    <mergeCell ref="AQ58:AS58"/>
    <mergeCell ref="Y58:AA58"/>
    <mergeCell ref="AB58:AD58"/>
    <mergeCell ref="AE58:AG58"/>
    <mergeCell ref="AH58:AJ58"/>
    <mergeCell ref="AK58:AM58"/>
    <mergeCell ref="AN58:AP58"/>
    <mergeCell ref="AZ59:BB59"/>
    <mergeCell ref="BC59:BE59"/>
    <mergeCell ref="BF59:BH59"/>
    <mergeCell ref="BI59:BK59"/>
    <mergeCell ref="BL59:BN59"/>
    <mergeCell ref="J60:L60"/>
    <mergeCell ref="M60:O60"/>
    <mergeCell ref="P60:R60"/>
    <mergeCell ref="S60:U60"/>
    <mergeCell ref="V60:X60"/>
    <mergeCell ref="AH59:AJ59"/>
    <mergeCell ref="AK59:AM59"/>
    <mergeCell ref="AN59:AP59"/>
    <mergeCell ref="AQ59:AS59"/>
    <mergeCell ref="AT59:AV59"/>
    <mergeCell ref="AW59:AY59"/>
    <mergeCell ref="BI60:BK60"/>
    <mergeCell ref="BL60:BN60"/>
    <mergeCell ref="AT60:AV60"/>
    <mergeCell ref="AW60:AY60"/>
    <mergeCell ref="AZ60:BB60"/>
    <mergeCell ref="BC60:BE60"/>
    <mergeCell ref="BF60:BH60"/>
    <mergeCell ref="J59:L59"/>
    <mergeCell ref="J61:L61"/>
    <mergeCell ref="M61:O61"/>
    <mergeCell ref="P61:R61"/>
    <mergeCell ref="S61:U61"/>
    <mergeCell ref="V61:X61"/>
    <mergeCell ref="Y61:AA61"/>
    <mergeCell ref="AB61:AD61"/>
    <mergeCell ref="AE61:AG61"/>
    <mergeCell ref="AQ60:AS60"/>
    <mergeCell ref="Y60:AA60"/>
    <mergeCell ref="AB60:AD60"/>
    <mergeCell ref="AE60:AG60"/>
    <mergeCell ref="AH60:AJ60"/>
    <mergeCell ref="AK60:AM60"/>
    <mergeCell ref="AN60:AP60"/>
    <mergeCell ref="AZ61:BB61"/>
    <mergeCell ref="BC61:BE61"/>
    <mergeCell ref="BF61:BH61"/>
    <mergeCell ref="BI61:BK61"/>
    <mergeCell ref="BL61:BN61"/>
    <mergeCell ref="AH61:AJ61"/>
    <mergeCell ref="AK61:AM61"/>
    <mergeCell ref="AN61:AP61"/>
    <mergeCell ref="AQ61:AS61"/>
    <mergeCell ref="AT61:AV61"/>
    <mergeCell ref="AW61:AY61"/>
    <mergeCell ref="BK2:BN2"/>
    <mergeCell ref="AF12:AG13"/>
    <mergeCell ref="AF14:AG15"/>
    <mergeCell ref="AF16:AG17"/>
    <mergeCell ref="AF18:AG19"/>
    <mergeCell ref="A10:E12"/>
    <mergeCell ref="F10:H12"/>
    <mergeCell ref="A13:E15"/>
    <mergeCell ref="A16:E18"/>
    <mergeCell ref="F13:H15"/>
    <mergeCell ref="F16:H18"/>
    <mergeCell ref="A19:E21"/>
    <mergeCell ref="F19:H21"/>
    <mergeCell ref="BI2:BJ2"/>
    <mergeCell ref="AH8:AK9"/>
    <mergeCell ref="AO8:AU9"/>
    <mergeCell ref="Q1:R2"/>
    <mergeCell ref="AH12:AK13"/>
    <mergeCell ref="A1:P2"/>
    <mergeCell ref="A3:AZ4"/>
    <mergeCell ref="A5:AZ6"/>
    <mergeCell ref="AO20:AU21"/>
    <mergeCell ref="AH18:AK19"/>
    <mergeCell ref="AO12:AU13"/>
  </mergeCells>
  <phoneticPr fontId="2"/>
  <dataValidations count="2">
    <dataValidation type="list" allowBlank="1" showInputMessage="1" showErrorMessage="1" sqref="F16">
      <formula1>"含む,含まない"</formula1>
    </dataValidation>
    <dataValidation type="list" allowBlank="1" sqref="F19:H21">
      <formula1>"0.362"</formula1>
    </dataValidation>
  </dataValidations>
  <pageMargins left="0.27559055118110237" right="0.27559055118110237" top="0.39370078740157483" bottom="0.1968503937007874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workbookViewId="0">
      <selection activeCell="H5" sqref="H5"/>
    </sheetView>
  </sheetViews>
  <sheetFormatPr defaultRowHeight="13.5" x14ac:dyDescent="0.15"/>
  <cols>
    <col min="3" max="3" width="12.75" customWidth="1"/>
    <col min="4" max="5" width="13" customWidth="1"/>
    <col min="6" max="6" width="14.625" customWidth="1"/>
  </cols>
  <sheetData>
    <row r="2" spans="1:10" ht="14.25" thickBot="1" x14ac:dyDescent="0.2"/>
    <row r="3" spans="1:10" x14ac:dyDescent="0.15">
      <c r="A3" s="170" t="s">
        <v>15</v>
      </c>
      <c r="B3" s="171"/>
      <c r="C3" s="4" t="s">
        <v>16</v>
      </c>
      <c r="D3" s="4" t="s">
        <v>17</v>
      </c>
      <c r="E3" s="4" t="s">
        <v>18</v>
      </c>
      <c r="F3" s="5" t="s">
        <v>32</v>
      </c>
      <c r="H3" s="1" t="s">
        <v>31</v>
      </c>
    </row>
    <row r="4" spans="1:10" x14ac:dyDescent="0.15">
      <c r="A4" s="172" t="str">
        <f>IF(既存型式1="","",既存型式1)</f>
        <v>水銀灯300w</v>
      </c>
      <c r="B4" s="66"/>
      <c r="C4">
        <f>IF(A4="","",既存電力1*既存台数1/1000)</f>
        <v>14.4</v>
      </c>
      <c r="D4">
        <f>IF(C4="","",C4*点灯日数*既存点灯時間1)</f>
        <v>52560</v>
      </c>
      <c r="E4">
        <f t="shared" ref="E4:E9" si="0">IF(D4="","",D4*電力単価)</f>
        <v>1629360</v>
      </c>
      <c r="F4" s="6">
        <f t="shared" ref="F4:F9" si="1">IF(D4="","",D4*$H$4)</f>
        <v>19026.72</v>
      </c>
      <c r="H4">
        <f>Sheet1!F19</f>
        <v>0.36199999999999999</v>
      </c>
    </row>
    <row r="5" spans="1:10" x14ac:dyDescent="0.15">
      <c r="A5" s="172" t="str">
        <f>IF(既存型式2="","",既存型式2)</f>
        <v>水銀灯400W</v>
      </c>
      <c r="B5" s="66"/>
      <c r="C5">
        <f>IF(A5="","",既存電力2*既存台数2/1000)</f>
        <v>19.920000000000002</v>
      </c>
      <c r="D5">
        <f>IF(C5="","",C5*点灯日数*既存点灯時間2)</f>
        <v>72708</v>
      </c>
      <c r="E5">
        <f t="shared" si="0"/>
        <v>2253948</v>
      </c>
      <c r="F5" s="6">
        <f t="shared" si="1"/>
        <v>26320.295999999998</v>
      </c>
    </row>
    <row r="6" spans="1:10" x14ac:dyDescent="0.15">
      <c r="A6" s="172" t="str">
        <f>IF(既存型式3="","",既存型式3)</f>
        <v>メタハラ400W</v>
      </c>
      <c r="B6" s="66"/>
      <c r="C6">
        <f>IF(A6="","",既存電力3*既存台数3/1000)</f>
        <v>12.45</v>
      </c>
      <c r="D6">
        <f>IF(C6="","",C6*点灯日数*既存点灯時間3)</f>
        <v>45442.5</v>
      </c>
      <c r="E6">
        <f t="shared" si="0"/>
        <v>1408717.5</v>
      </c>
      <c r="F6" s="6">
        <f t="shared" si="1"/>
        <v>16450.184999999998</v>
      </c>
      <c r="H6" t="s">
        <v>61</v>
      </c>
      <c r="J6" t="s">
        <v>62</v>
      </c>
    </row>
    <row r="7" spans="1:10" x14ac:dyDescent="0.15">
      <c r="A7" s="172" t="str">
        <f>IF(既存型式4="","",既存型式4)</f>
        <v>メタハラ700W</v>
      </c>
      <c r="B7" s="66"/>
      <c r="C7">
        <f>IF(A7="","",既存電力4*既存台数4/1000)</f>
        <v>10.5</v>
      </c>
      <c r="D7">
        <f>IF(C7="","",C7*点灯日数*既存点灯時間4)</f>
        <v>38325</v>
      </c>
      <c r="E7">
        <f t="shared" si="0"/>
        <v>1188075</v>
      </c>
      <c r="F7" s="6">
        <f t="shared" si="1"/>
        <v>13873.65</v>
      </c>
      <c r="H7" t="str">
        <f>A4</f>
        <v>水銀灯300w</v>
      </c>
      <c r="J7" t="str">
        <f>A13</f>
        <v>エースディスク300W</v>
      </c>
    </row>
    <row r="8" spans="1:10" x14ac:dyDescent="0.15">
      <c r="A8" s="172" t="str">
        <f>IF(既存型式5="","",既存型式5)</f>
        <v>メタハラ1000</v>
      </c>
      <c r="B8" s="66"/>
      <c r="C8">
        <f>IF(A8="","",既存電力5*既存台数5/1000)</f>
        <v>24</v>
      </c>
      <c r="D8">
        <f>IF(C8="","",C8*点灯日数*既存点灯時間5)</f>
        <v>87600</v>
      </c>
      <c r="E8">
        <f t="shared" si="0"/>
        <v>2715600</v>
      </c>
      <c r="F8" s="6">
        <f t="shared" si="1"/>
        <v>31711.200000000001</v>
      </c>
      <c r="H8" t="str">
        <f>IF(COUNTIF($A$4:B5,A5)&gt;1,"",A5)</f>
        <v>水銀灯400W</v>
      </c>
      <c r="J8" t="str">
        <f>IF(COUNTIF($A$13:B14,A14)&gt;1,"",A14)</f>
        <v>エースディスク200W</v>
      </c>
    </row>
    <row r="9" spans="1:10" x14ac:dyDescent="0.15">
      <c r="A9" s="172" t="str">
        <f>IF(既存型式6="","",既存型式6)</f>
        <v>セラメタ300W</v>
      </c>
      <c r="B9" s="66"/>
      <c r="C9">
        <f>IF(A9="","",既存電力6*既存台数6/1000)</f>
        <v>5.22</v>
      </c>
      <c r="D9">
        <f>IF(C9="","",C9*点灯日数*既存点灯時間6)</f>
        <v>19053</v>
      </c>
      <c r="E9">
        <f t="shared" si="0"/>
        <v>590643</v>
      </c>
      <c r="F9" s="6">
        <f t="shared" si="1"/>
        <v>6897.1859999999997</v>
      </c>
      <c r="H9" t="str">
        <f>IF(COUNTIF($A$4:B6,A6)&gt;1,"",A6)</f>
        <v>メタハラ400W</v>
      </c>
      <c r="J9" t="str">
        <f>IF(COUNTIF($A$13:B15,A15)&gt;1,"",A15)</f>
        <v>エースディスク500W</v>
      </c>
    </row>
    <row r="10" spans="1:10" ht="14.25" thickBot="1" x14ac:dyDescent="0.2">
      <c r="A10" s="168" t="s">
        <v>20</v>
      </c>
      <c r="B10" s="169"/>
      <c r="C10" s="7">
        <f>SUM(C4:C9)</f>
        <v>86.49</v>
      </c>
      <c r="D10" s="7">
        <f>SUM(D4:D9)</f>
        <v>315688.5</v>
      </c>
      <c r="E10" s="7">
        <f>SUM(E4:E9)</f>
        <v>9786343.5</v>
      </c>
      <c r="F10" s="8">
        <f>SUM(F4:F9)</f>
        <v>114279.23699999999</v>
      </c>
      <c r="H10" t="str">
        <f>IF(COUNTIF($A$4:B7,A7)&gt;1,"",A7)</f>
        <v>メタハラ700W</v>
      </c>
      <c r="J10" t="str">
        <f>IF(COUNTIF($A$13:B16,A16)&gt;1,"",A16)</f>
        <v>ハイディスク140W</v>
      </c>
    </row>
    <row r="11" spans="1:10" ht="14.25" thickBot="1" x14ac:dyDescent="0.2">
      <c r="H11" t="str">
        <f>IF(COUNTIF($A$4:B8,A8)&gt;1,"",A8)</f>
        <v>メタハラ1000</v>
      </c>
      <c r="J11" t="str">
        <f>IF(COUNTIF($A$13:B17,A17)&gt;1,"",A17)</f>
        <v>アイディスク150W</v>
      </c>
    </row>
    <row r="12" spans="1:10" x14ac:dyDescent="0.15">
      <c r="A12" s="170" t="s">
        <v>19</v>
      </c>
      <c r="B12" s="171"/>
      <c r="C12" s="4" t="s">
        <v>16</v>
      </c>
      <c r="D12" s="4" t="s">
        <v>17</v>
      </c>
      <c r="E12" s="4" t="s">
        <v>18</v>
      </c>
      <c r="F12" s="5" t="s">
        <v>32</v>
      </c>
      <c r="H12" t="str">
        <f>IF(COUNTIF($A$4:B9,A9)&gt;1,"",A9)</f>
        <v>セラメタ300W</v>
      </c>
      <c r="J12" t="str">
        <f>IF(COUNTIF($A$13:B18,A18)&gt;1,"",A18)</f>
        <v>ゼットディスク</v>
      </c>
    </row>
    <row r="13" spans="1:10" x14ac:dyDescent="0.15">
      <c r="A13" s="172" t="str">
        <f>IF(LED型式1="","",LED型式1)</f>
        <v>エースディスク300W</v>
      </c>
      <c r="B13" s="66"/>
      <c r="C13">
        <f>IF(A13="","",LED電力1*LED台数1/1000)</f>
        <v>5.31</v>
      </c>
      <c r="D13">
        <f>IF(C13="","",C13*点灯日数*LED点灯時間1)</f>
        <v>19381.5</v>
      </c>
      <c r="E13">
        <f t="shared" ref="E13:E18" si="2">IF(D13="","",D13*電力単価)</f>
        <v>600826.5</v>
      </c>
      <c r="F13" s="6">
        <f t="shared" ref="F13:F18" si="3">IF(D13="","",D13*$H$4)</f>
        <v>7016.1030000000001</v>
      </c>
    </row>
    <row r="14" spans="1:10" x14ac:dyDescent="0.15">
      <c r="A14" s="172" t="str">
        <f>IF(LED型式2="","",LED型式2)</f>
        <v>エースディスク200W</v>
      </c>
      <c r="B14" s="66"/>
      <c r="C14">
        <f>IF(A14="","",LED電力2*LED台数2/1000)</f>
        <v>3.5459999999999998</v>
      </c>
      <c r="D14">
        <f>IF(C14="","",C14*点灯日数*LED点灯時間2)</f>
        <v>12942.9</v>
      </c>
      <c r="E14">
        <f t="shared" si="2"/>
        <v>401229.89999999997</v>
      </c>
      <c r="F14" s="6">
        <f t="shared" si="3"/>
        <v>4685.3297999999995</v>
      </c>
    </row>
    <row r="15" spans="1:10" x14ac:dyDescent="0.15">
      <c r="A15" s="172" t="str">
        <f>IF(LED型式3="","",LED型式3)</f>
        <v>エースディスク500W</v>
      </c>
      <c r="B15" s="66"/>
      <c r="C15">
        <f>IF(A15="","",LED電力3*LED台数3/1000)</f>
        <v>7.4249999999999998</v>
      </c>
      <c r="D15">
        <f>IF(C15="","",C15*点灯日数*LED点灯時間3)</f>
        <v>27101.25</v>
      </c>
      <c r="E15">
        <f t="shared" si="2"/>
        <v>840138.75</v>
      </c>
      <c r="F15" s="6">
        <f t="shared" si="3"/>
        <v>9810.6525000000001</v>
      </c>
    </row>
    <row r="16" spans="1:10" x14ac:dyDescent="0.15">
      <c r="A16" s="172" t="str">
        <f>IF(LED型式4="","",LED型式4)</f>
        <v>ハイディスク140W</v>
      </c>
      <c r="B16" s="66"/>
      <c r="C16">
        <f>IF(A16="","",LED電力4*LED台数4/1000)</f>
        <v>1.68</v>
      </c>
      <c r="D16">
        <f>IF(C16="","",C16*点灯日数*LED点灯時間4)</f>
        <v>6131.9999999999991</v>
      </c>
      <c r="E16">
        <f t="shared" si="2"/>
        <v>190091.99999999997</v>
      </c>
      <c r="F16" s="6">
        <f t="shared" si="3"/>
        <v>2219.7839999999997</v>
      </c>
    </row>
    <row r="17" spans="1:6" x14ac:dyDescent="0.15">
      <c r="A17" s="172" t="str">
        <f>IF(LED型式5="","",LED型式5)</f>
        <v>アイディスク150W</v>
      </c>
      <c r="B17" s="66"/>
      <c r="C17">
        <f>IF(A17="","",LED電力5*LED台数5/1000)</f>
        <v>3.84</v>
      </c>
      <c r="D17">
        <f>IF(C17="","",C17*点灯日数*LED点灯時間5)</f>
        <v>14016</v>
      </c>
      <c r="E17">
        <f t="shared" si="2"/>
        <v>434496</v>
      </c>
      <c r="F17" s="6">
        <f t="shared" si="3"/>
        <v>5073.7919999999995</v>
      </c>
    </row>
    <row r="18" spans="1:6" x14ac:dyDescent="0.15">
      <c r="A18" s="172" t="str">
        <f>IF(LED型式6="","",LED型式6)</f>
        <v>ゼットディスク</v>
      </c>
      <c r="B18" s="66"/>
      <c r="C18">
        <f>IF(A18="","",LED電力6*LED台数6/1000)</f>
        <v>2.448</v>
      </c>
      <c r="D18">
        <f>IF(C18="","",C18*点灯日数*LED点灯時間6)</f>
        <v>8935.2000000000007</v>
      </c>
      <c r="E18">
        <f t="shared" si="2"/>
        <v>276991.2</v>
      </c>
      <c r="F18" s="6">
        <f t="shared" si="3"/>
        <v>3234.5424000000003</v>
      </c>
    </row>
    <row r="19" spans="1:6" ht="14.25" thickBot="1" x14ac:dyDescent="0.2">
      <c r="A19" s="168" t="s">
        <v>20</v>
      </c>
      <c r="B19" s="169"/>
      <c r="C19" s="7">
        <f>SUM(C13:C18)</f>
        <v>24.248999999999999</v>
      </c>
      <c r="D19" s="7">
        <f>SUM(D13:D18)</f>
        <v>88508.849999999991</v>
      </c>
      <c r="E19" s="7">
        <f>SUM(E13:E18)</f>
        <v>2743774.35</v>
      </c>
      <c r="F19" s="8">
        <f>SUM(F13:F18)</f>
        <v>32040.203699999998</v>
      </c>
    </row>
    <row r="20" spans="1:6" x14ac:dyDescent="0.15">
      <c r="A20" s="171" t="s">
        <v>26</v>
      </c>
      <c r="B20" s="171"/>
      <c r="C20">
        <f>C10-C19</f>
        <v>62.241</v>
      </c>
      <c r="D20">
        <f>D10-D19</f>
        <v>227179.65000000002</v>
      </c>
      <c r="E20">
        <f>E10-E19</f>
        <v>7042569.1500000004</v>
      </c>
      <c r="F20">
        <f>F10-F19</f>
        <v>82239.033299999996</v>
      </c>
    </row>
    <row r="22" spans="1:6" x14ac:dyDescent="0.15">
      <c r="A22" t="s">
        <v>25</v>
      </c>
      <c r="E22" t="s">
        <v>24</v>
      </c>
      <c r="F22" s="9">
        <f>IF(F23=0,"",F23/F24)</f>
        <v>0.71963232743669792</v>
      </c>
    </row>
    <row r="23" spans="1:6" x14ac:dyDescent="0.15">
      <c r="B23" t="s">
        <v>19</v>
      </c>
      <c r="C23" t="s">
        <v>15</v>
      </c>
      <c r="E23" t="s">
        <v>26</v>
      </c>
      <c r="F23">
        <f>C20</f>
        <v>62.241</v>
      </c>
    </row>
    <row r="24" spans="1:6" x14ac:dyDescent="0.15">
      <c r="B24">
        <f t="shared" ref="B24:B29" si="4">D13</f>
        <v>19381.5</v>
      </c>
      <c r="C24">
        <f t="shared" ref="C24:C29" si="5">D4</f>
        <v>52560</v>
      </c>
      <c r="E24" t="s">
        <v>30</v>
      </c>
      <c r="F24">
        <f>C10</f>
        <v>86.49</v>
      </c>
    </row>
    <row r="25" spans="1:6" x14ac:dyDescent="0.15">
      <c r="B25">
        <f t="shared" si="4"/>
        <v>12942.9</v>
      </c>
      <c r="C25">
        <f t="shared" si="5"/>
        <v>72708</v>
      </c>
    </row>
    <row r="26" spans="1:6" x14ac:dyDescent="0.15">
      <c r="B26">
        <f t="shared" si="4"/>
        <v>27101.25</v>
      </c>
      <c r="C26">
        <f t="shared" si="5"/>
        <v>45442.5</v>
      </c>
    </row>
    <row r="27" spans="1:6" x14ac:dyDescent="0.15">
      <c r="B27">
        <f t="shared" si="4"/>
        <v>6131.9999999999991</v>
      </c>
      <c r="C27">
        <f t="shared" si="5"/>
        <v>38325</v>
      </c>
    </row>
    <row r="28" spans="1:6" x14ac:dyDescent="0.15">
      <c r="B28">
        <f t="shared" si="4"/>
        <v>14016</v>
      </c>
      <c r="C28">
        <f t="shared" si="5"/>
        <v>87600</v>
      </c>
    </row>
    <row r="29" spans="1:6" x14ac:dyDescent="0.15">
      <c r="B29">
        <f t="shared" si="4"/>
        <v>8935.2000000000007</v>
      </c>
      <c r="C29">
        <f t="shared" si="5"/>
        <v>19053</v>
      </c>
    </row>
    <row r="30" spans="1:6" x14ac:dyDescent="0.15">
      <c r="A30" s="1" t="s">
        <v>26</v>
      </c>
      <c r="B30">
        <f>D20</f>
        <v>227179.65000000002</v>
      </c>
    </row>
    <row r="31" spans="1:6" x14ac:dyDescent="0.15">
      <c r="A31" s="1" t="s">
        <v>27</v>
      </c>
      <c r="B31">
        <f>LED年間消費電力</f>
        <v>88508.849999999991</v>
      </c>
      <c r="C31">
        <f>既存年間消費電力</f>
        <v>315688.5</v>
      </c>
    </row>
    <row r="32" spans="1:6" x14ac:dyDescent="0.15">
      <c r="B32">
        <f>D20</f>
        <v>227179.65000000002</v>
      </c>
    </row>
    <row r="40" spans="1:6" x14ac:dyDescent="0.15">
      <c r="A40" s="66" t="s">
        <v>21</v>
      </c>
      <c r="B40" s="66"/>
      <c r="C40" s="1" t="s">
        <v>22</v>
      </c>
      <c r="D40" s="1" t="s">
        <v>23</v>
      </c>
      <c r="E40" s="1"/>
      <c r="F40" s="1"/>
    </row>
    <row r="41" spans="1:6" x14ac:dyDescent="0.15">
      <c r="B41" s="2">
        <v>1</v>
      </c>
      <c r="C41" s="3">
        <f>Sheet1!G52</f>
        <v>11583587.699999999</v>
      </c>
      <c r="D41" s="3">
        <f>Sheet1!G60</f>
        <v>13254274.35</v>
      </c>
    </row>
    <row r="42" spans="1:6" x14ac:dyDescent="0.15">
      <c r="B42" s="2">
        <v>2</v>
      </c>
      <c r="C42" s="3">
        <f>Sheet1!J52</f>
        <v>18775175.399999999</v>
      </c>
      <c r="D42" s="3">
        <f>Sheet1!J60</f>
        <v>15998048.699999999</v>
      </c>
    </row>
    <row r="43" spans="1:6" x14ac:dyDescent="0.15">
      <c r="B43" s="2">
        <v>3</v>
      </c>
      <c r="C43" s="3">
        <f>Sheet1!M52</f>
        <v>25966763.099999998</v>
      </c>
      <c r="D43" s="3">
        <f>Sheet1!M60</f>
        <v>18741823.050000001</v>
      </c>
    </row>
    <row r="44" spans="1:6" x14ac:dyDescent="0.15">
      <c r="B44" s="2">
        <v>4</v>
      </c>
      <c r="C44" s="3">
        <f>Sheet1!P52</f>
        <v>33158350.799999997</v>
      </c>
      <c r="D44" s="3">
        <f>Sheet1!P60</f>
        <v>21485597.400000002</v>
      </c>
    </row>
    <row r="45" spans="1:6" x14ac:dyDescent="0.15">
      <c r="B45" s="2">
        <v>5</v>
      </c>
      <c r="C45" s="3">
        <f>Sheet1!S52</f>
        <v>44741938.5</v>
      </c>
      <c r="D45" s="3">
        <f>Sheet1!S60</f>
        <v>24229371.750000004</v>
      </c>
    </row>
    <row r="46" spans="1:6" x14ac:dyDescent="0.15">
      <c r="B46" s="2">
        <v>6</v>
      </c>
      <c r="C46" s="3">
        <f>Sheet1!V52</f>
        <v>51933526.200000003</v>
      </c>
      <c r="D46" s="3">
        <f>Sheet1!V60</f>
        <v>26973146.100000005</v>
      </c>
    </row>
    <row r="47" spans="1:6" x14ac:dyDescent="0.15">
      <c r="B47" s="2">
        <v>7</v>
      </c>
      <c r="C47" s="3">
        <f>Sheet1!Y52</f>
        <v>59125113.900000006</v>
      </c>
      <c r="D47" s="3">
        <f>Sheet1!Y60</f>
        <v>29716920.450000007</v>
      </c>
    </row>
    <row r="48" spans="1:6" x14ac:dyDescent="0.15">
      <c r="B48" s="2">
        <v>8</v>
      </c>
      <c r="C48" s="3">
        <f>Sheet1!AB52</f>
        <v>66316701.600000009</v>
      </c>
      <c r="D48" s="3">
        <f>Sheet1!AB60</f>
        <v>32460694.800000008</v>
      </c>
    </row>
    <row r="49" spans="2:4" x14ac:dyDescent="0.15">
      <c r="B49" s="2">
        <v>9</v>
      </c>
      <c r="C49" s="3">
        <f>Sheet1!AE52</f>
        <v>77900289.300000012</v>
      </c>
      <c r="D49" s="3">
        <f>Sheet1!AE60</f>
        <v>35204469.150000006</v>
      </c>
    </row>
    <row r="50" spans="2:4" x14ac:dyDescent="0.15">
      <c r="B50" s="2">
        <v>10</v>
      </c>
      <c r="C50" s="3">
        <f>Sheet1!AH52</f>
        <v>85091877.000000015</v>
      </c>
      <c r="D50" s="3">
        <f>Sheet1!AH60</f>
        <v>37948243.500000007</v>
      </c>
    </row>
    <row r="51" spans="2:4" x14ac:dyDescent="0.15">
      <c r="B51" s="2">
        <v>11</v>
      </c>
      <c r="C51" s="3">
        <f>Sheet1!AK52</f>
        <v>92283464.700000018</v>
      </c>
      <c r="D51" s="3">
        <f>Sheet1!AK60</f>
        <v>40692017.850000009</v>
      </c>
    </row>
    <row r="52" spans="2:4" x14ac:dyDescent="0.15">
      <c r="B52" s="2">
        <v>12</v>
      </c>
      <c r="C52" s="3">
        <f>Sheet1!AN52</f>
        <v>99475052.400000021</v>
      </c>
      <c r="D52" s="3">
        <f>Sheet1!AN60</f>
        <v>44863792.20000001</v>
      </c>
    </row>
    <row r="53" spans="2:4" x14ac:dyDescent="0.15">
      <c r="B53" s="2">
        <v>13</v>
      </c>
      <c r="C53" s="3">
        <f>Sheet1!AQ52</f>
        <v>111058640.10000002</v>
      </c>
      <c r="D53" s="3">
        <f>Sheet1!AQ60</f>
        <v>47607566.550000012</v>
      </c>
    </row>
    <row r="54" spans="2:4" x14ac:dyDescent="0.15">
      <c r="B54" s="2">
        <v>14</v>
      </c>
      <c r="C54" s="3">
        <f>Sheet1!AT52</f>
        <v>118250227.80000003</v>
      </c>
      <c r="D54" s="3">
        <f>Sheet1!AT60</f>
        <v>50351340.900000013</v>
      </c>
    </row>
    <row r="55" spans="2:4" x14ac:dyDescent="0.15">
      <c r="B55" s="2">
        <v>15</v>
      </c>
      <c r="C55" s="3">
        <f>Sheet1!AW52</f>
        <v>125441815.50000003</v>
      </c>
      <c r="D55" s="3">
        <f>Sheet1!AW60</f>
        <v>62177615.250000015</v>
      </c>
    </row>
    <row r="56" spans="2:4" x14ac:dyDescent="0.15">
      <c r="B56" s="2">
        <v>16</v>
      </c>
      <c r="C56" s="3">
        <f>Sheet1!AZ52</f>
        <v>132633403.20000003</v>
      </c>
      <c r="D56" s="3">
        <f>Sheet1!AZ60</f>
        <v>64921389.600000016</v>
      </c>
    </row>
    <row r="57" spans="2:4" x14ac:dyDescent="0.15">
      <c r="B57" s="2">
        <v>17</v>
      </c>
      <c r="C57" s="3">
        <f>Sheet1!BC52</f>
        <v>144216990.90000004</v>
      </c>
      <c r="D57" s="3">
        <f>Sheet1!BC60</f>
        <v>67665163.950000018</v>
      </c>
    </row>
    <row r="58" spans="2:4" x14ac:dyDescent="0.15">
      <c r="B58" s="2">
        <v>18</v>
      </c>
      <c r="C58" s="3">
        <f>Sheet1!BF52</f>
        <v>151408578.60000002</v>
      </c>
      <c r="D58" s="3">
        <f>Sheet1!BF60</f>
        <v>70408938.300000012</v>
      </c>
    </row>
    <row r="59" spans="2:4" x14ac:dyDescent="0.15">
      <c r="B59" s="2">
        <v>19</v>
      </c>
      <c r="C59" s="3">
        <f>Sheet1!BI52</f>
        <v>158600166.30000001</v>
      </c>
      <c r="D59" s="3">
        <f>Sheet1!BI60</f>
        <v>73152712.650000006</v>
      </c>
    </row>
    <row r="60" spans="2:4" x14ac:dyDescent="0.15">
      <c r="B60" s="2">
        <v>20</v>
      </c>
      <c r="C60" s="3">
        <f>Sheet1!BL52</f>
        <v>165791754</v>
      </c>
      <c r="D60" s="3">
        <f>Sheet1!BL60</f>
        <v>75896487</v>
      </c>
    </row>
  </sheetData>
  <mergeCells count="18">
    <mergeCell ref="A20:B20"/>
    <mergeCell ref="A40:B40"/>
    <mergeCell ref="A13:B13"/>
    <mergeCell ref="A14:B14"/>
    <mergeCell ref="A15:B15"/>
    <mergeCell ref="A16:B16"/>
    <mergeCell ref="A17:B17"/>
    <mergeCell ref="A18:B18"/>
    <mergeCell ref="A10:B10"/>
    <mergeCell ref="A19:B19"/>
    <mergeCell ref="A3:B3"/>
    <mergeCell ref="A4:B4"/>
    <mergeCell ref="A5:B5"/>
    <mergeCell ref="A6:B6"/>
    <mergeCell ref="A7:B7"/>
    <mergeCell ref="A12:B12"/>
    <mergeCell ref="A8:B8"/>
    <mergeCell ref="A9:B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107</vt:i4>
      </vt:variant>
    </vt:vector>
  </HeadingPairs>
  <TitlesOfParts>
    <vt:vector size="109" baseType="lpstr">
      <vt:lpstr>Sheet1</vt:lpstr>
      <vt:lpstr>グラフ用データ</vt:lpstr>
      <vt:lpstr>LED</vt:lpstr>
      <vt:lpstr>LED型式1</vt:lpstr>
      <vt:lpstr>LED型式2</vt:lpstr>
      <vt:lpstr>LED型式3</vt:lpstr>
      <vt:lpstr>LED型式4</vt:lpstr>
      <vt:lpstr>LED型式5</vt:lpstr>
      <vt:lpstr>LED型式6</vt:lpstr>
      <vt:lpstr>LED型式71</vt:lpstr>
      <vt:lpstr>LED型式72</vt:lpstr>
      <vt:lpstr>LED型式73</vt:lpstr>
      <vt:lpstr>LED型式74</vt:lpstr>
      <vt:lpstr>LED型式75</vt:lpstr>
      <vt:lpstr>LED型式76</vt:lpstr>
      <vt:lpstr>LED時期1</vt:lpstr>
      <vt:lpstr>LED時期2</vt:lpstr>
      <vt:lpstr>LED時期3</vt:lpstr>
      <vt:lpstr>LED時期4</vt:lpstr>
      <vt:lpstr>LED時期5</vt:lpstr>
      <vt:lpstr>LED時期6</vt:lpstr>
      <vt:lpstr>LED寿命1</vt:lpstr>
      <vt:lpstr>LED寿命２</vt:lpstr>
      <vt:lpstr>LED寿命3</vt:lpstr>
      <vt:lpstr>LED寿命4</vt:lpstr>
      <vt:lpstr>LED寿命5</vt:lpstr>
      <vt:lpstr>LED寿命6</vt:lpstr>
      <vt:lpstr>LED台数1</vt:lpstr>
      <vt:lpstr>LED台数2</vt:lpstr>
      <vt:lpstr>LED台数3</vt:lpstr>
      <vt:lpstr>LED台数4</vt:lpstr>
      <vt:lpstr>LED台数5</vt:lpstr>
      <vt:lpstr>LED台数6</vt:lpstr>
      <vt:lpstr>LED単価1</vt:lpstr>
      <vt:lpstr>LED単価2</vt:lpstr>
      <vt:lpstr>LED単価3</vt:lpstr>
      <vt:lpstr>LED単価4</vt:lpstr>
      <vt:lpstr>LED単価5</vt:lpstr>
      <vt:lpstr>LED単価6</vt:lpstr>
      <vt:lpstr>LED点灯時間1</vt:lpstr>
      <vt:lpstr>LED点灯時間2</vt:lpstr>
      <vt:lpstr>LED点灯時間3</vt:lpstr>
      <vt:lpstr>LED点灯時間4</vt:lpstr>
      <vt:lpstr>LED点灯時間5</vt:lpstr>
      <vt:lpstr>LED点灯時間6</vt:lpstr>
      <vt:lpstr>LED電力1</vt:lpstr>
      <vt:lpstr>LED電力2</vt:lpstr>
      <vt:lpstr>LED電力3</vt:lpstr>
      <vt:lpstr>LED電力4</vt:lpstr>
      <vt:lpstr>LED電力5</vt:lpstr>
      <vt:lpstr>LED電力6</vt:lpstr>
      <vt:lpstr>LED年間CO2排出量</vt:lpstr>
      <vt:lpstr>LED年間消費電力</vt:lpstr>
      <vt:lpstr>LED年間電気料金</vt:lpstr>
      <vt:lpstr>Sheet1!Print_Area</vt:lpstr>
      <vt:lpstr>既存型式1</vt:lpstr>
      <vt:lpstr>既存型式2</vt:lpstr>
      <vt:lpstr>既存型式3</vt:lpstr>
      <vt:lpstr>既存型式4</vt:lpstr>
      <vt:lpstr>既存型式5</vt:lpstr>
      <vt:lpstr>既存型式6</vt:lpstr>
      <vt:lpstr>既存型式71</vt:lpstr>
      <vt:lpstr>既存型式72</vt:lpstr>
      <vt:lpstr>既存型式73</vt:lpstr>
      <vt:lpstr>既存型式74</vt:lpstr>
      <vt:lpstr>既存型式75</vt:lpstr>
      <vt:lpstr>既存型式76</vt:lpstr>
      <vt:lpstr>既存時期1</vt:lpstr>
      <vt:lpstr>既存時期2</vt:lpstr>
      <vt:lpstr>既存時期3</vt:lpstr>
      <vt:lpstr>既存時期4</vt:lpstr>
      <vt:lpstr>既存時期5</vt:lpstr>
      <vt:lpstr>既存時期6</vt:lpstr>
      <vt:lpstr>既存寿命1</vt:lpstr>
      <vt:lpstr>既存寿命2</vt:lpstr>
      <vt:lpstr>既存寿命3</vt:lpstr>
      <vt:lpstr>既存寿命4</vt:lpstr>
      <vt:lpstr>既存寿命5</vt:lpstr>
      <vt:lpstr>既存寿命6</vt:lpstr>
      <vt:lpstr>既存台数1</vt:lpstr>
      <vt:lpstr>既存台数2</vt:lpstr>
      <vt:lpstr>既存台数3</vt:lpstr>
      <vt:lpstr>既存台数4</vt:lpstr>
      <vt:lpstr>既存台数5</vt:lpstr>
      <vt:lpstr>既存台数6</vt:lpstr>
      <vt:lpstr>既存単価1</vt:lpstr>
      <vt:lpstr>既存単価2</vt:lpstr>
      <vt:lpstr>既存単価3</vt:lpstr>
      <vt:lpstr>既存単価4</vt:lpstr>
      <vt:lpstr>既存単価5</vt:lpstr>
      <vt:lpstr>既存単価6</vt:lpstr>
      <vt:lpstr>既存点灯時間1</vt:lpstr>
      <vt:lpstr>既存点灯時間2</vt:lpstr>
      <vt:lpstr>既存点灯時間3</vt:lpstr>
      <vt:lpstr>既存点灯時間4</vt:lpstr>
      <vt:lpstr>既存点灯時間5</vt:lpstr>
      <vt:lpstr>既存点灯時間6</vt:lpstr>
      <vt:lpstr>既存電力1</vt:lpstr>
      <vt:lpstr>既存電力2</vt:lpstr>
      <vt:lpstr>既存電力3</vt:lpstr>
      <vt:lpstr>既存電力4</vt:lpstr>
      <vt:lpstr>既存電力5</vt:lpstr>
      <vt:lpstr>既存電力6</vt:lpstr>
      <vt:lpstr>既存年間CO2排出量</vt:lpstr>
      <vt:lpstr>既存年間消費電力</vt:lpstr>
      <vt:lpstr>既存年間電気料金</vt:lpstr>
      <vt:lpstr>初年度費用</vt:lpstr>
      <vt:lpstr>点灯日数</vt:lpstr>
      <vt:lpstr>電力単価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Oonishi</dc:creator>
  <cp:lastModifiedBy>oonishi</cp:lastModifiedBy>
  <cp:lastPrinted>2015-08-05T06:08:58Z</cp:lastPrinted>
  <dcterms:created xsi:type="dcterms:W3CDTF">2015-04-15T09:03:51Z</dcterms:created>
  <dcterms:modified xsi:type="dcterms:W3CDTF">2023-01-10T04:27:09Z</dcterms:modified>
</cp:coreProperties>
</file>